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w.sharepoint.com/sites/ECS_SustainableEnergySystems/Shared Documents/Publications/ASES/2026/Sipaseuth/"/>
    </mc:Choice>
  </mc:AlternateContent>
  <xr:revisionPtr revIDLastSave="0" documentId="8_{0D65740C-2753-E042-A5EB-F557C2F24F6E}" xr6:coauthVersionLast="47" xr6:coauthVersionMax="47" xr10:uidLastSave="{00000000-0000-0000-0000-000000000000}"/>
  <bookViews>
    <workbookView xWindow="0" yWindow="660" windowWidth="23260" windowHeight="12580" xr2:uid="{D547BAF9-07E8-4287-8E74-D5A2638A3083}"/>
  </bookViews>
  <sheets>
    <sheet name="1. Five-Step Model" sheetId="8" r:id="rId1"/>
    <sheet name="2. Full LCOE" sheetId="9" r:id="rId2"/>
    <sheet name="3. Sensitivity Analysis" sheetId="10" r:id="rId3"/>
    <sheet name="4. Financial Impact" sheetId="11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1" l="1"/>
  <c r="B6" i="11"/>
  <c r="B8" i="11" s="1"/>
  <c r="B9" i="11" s="1"/>
  <c r="B10" i="11" s="1"/>
  <c r="B5" i="11"/>
  <c r="C25" i="10"/>
  <c r="C23" i="10"/>
  <c r="C24" i="10" s="1"/>
  <c r="F19" i="10"/>
  <c r="D19" i="10"/>
  <c r="E19" i="10" s="1"/>
  <c r="B19" i="10"/>
  <c r="C19" i="10" s="1"/>
  <c r="F18" i="10"/>
  <c r="D18" i="10"/>
  <c r="E18" i="10" s="1"/>
  <c r="B18" i="10"/>
  <c r="C18" i="10" s="1"/>
  <c r="G18" i="10" s="1"/>
  <c r="F17" i="10"/>
  <c r="D17" i="10"/>
  <c r="E17" i="10" s="1"/>
  <c r="B17" i="10"/>
  <c r="C17" i="10" s="1"/>
  <c r="B12" i="10"/>
  <c r="C12" i="10" s="1"/>
  <c r="D12" i="10" s="1"/>
  <c r="B11" i="10"/>
  <c r="C11" i="10" s="1"/>
  <c r="D11" i="10" s="1"/>
  <c r="B10" i="10"/>
  <c r="C10" i="10" s="1"/>
  <c r="D10" i="10" s="1"/>
  <c r="B9" i="10"/>
  <c r="C9" i="10" s="1"/>
  <c r="D9" i="10" s="1"/>
  <c r="B8" i="10"/>
  <c r="C8" i="10" s="1"/>
  <c r="D8" i="10" s="1"/>
  <c r="B7" i="10"/>
  <c r="C7" i="10" s="1"/>
  <c r="D7" i="10" s="1"/>
  <c r="C27" i="9"/>
  <c r="B27" i="9"/>
  <c r="C23" i="9"/>
  <c r="B23" i="9"/>
  <c r="C15" i="9"/>
  <c r="C16" i="9" s="1"/>
  <c r="B15" i="9"/>
  <c r="B16" i="9" s="1"/>
  <c r="C10" i="9"/>
  <c r="C11" i="9" s="1"/>
  <c r="B10" i="9"/>
  <c r="B11" i="9" s="1"/>
  <c r="C8" i="9"/>
  <c r="B8" i="9"/>
  <c r="B23" i="8"/>
  <c r="B25" i="8" s="1"/>
  <c r="B27" i="8" s="1"/>
  <c r="B19" i="8"/>
  <c r="B20" i="8" s="1"/>
  <c r="B21" i="8" s="1"/>
  <c r="B22" i="8" s="1"/>
  <c r="C17" i="9" l="1"/>
  <c r="C18" i="9" s="1"/>
  <c r="C12" i="9"/>
  <c r="C13" i="9" s="1"/>
  <c r="C24" i="9" s="1"/>
  <c r="G19" i="10"/>
  <c r="B17" i="9"/>
  <c r="B18" i="9" s="1"/>
  <c r="B25" i="9" s="1"/>
  <c r="B12" i="9"/>
  <c r="B13" i="9" s="1"/>
  <c r="B24" i="9" s="1"/>
  <c r="B26" i="9" s="1"/>
  <c r="B28" i="9" s="1"/>
  <c r="C25" i="9"/>
  <c r="G17" i="10"/>
  <c r="C26" i="9"/>
  <c r="C28" i="9" s="1"/>
  <c r="B24" i="8"/>
  <c r="B26" i="8" l="1"/>
  <c r="B28" i="8"/>
  <c r="B29" i="8" s="1"/>
</calcChain>
</file>

<file path=xl/sharedStrings.xml><?xml version="1.0" encoding="utf-8"?>
<sst xmlns="http://schemas.openxmlformats.org/spreadsheetml/2006/main" count="148" uniqueCount="112">
  <si>
    <t>Parameter</t>
  </si>
  <si>
    <t>Value</t>
  </si>
  <si>
    <t>Unit</t>
  </si>
  <si>
    <t>GWh</t>
  </si>
  <si>
    <t>GW</t>
  </si>
  <si>
    <t>%</t>
  </si>
  <si>
    <t>MW</t>
  </si>
  <si>
    <t xml:space="preserve">P2H2P TECHNO-ECONOMIC MODEL </t>
  </si>
  <si>
    <t xml:space="preserve">Supplementary Calculation Spreadsheet  </t>
  </si>
  <si>
    <t>A.  CORE INPUT PARAMETERS</t>
  </si>
  <si>
    <t>Dry-season electricity import deficit</t>
  </si>
  <si>
    <t>GWh / year</t>
  </si>
  <si>
    <t>Wet-season surplus hydropower cap</t>
  </si>
  <si>
    <t>Wet-season production window</t>
  </si>
  <si>
    <t>hours  (6 months × 30 days × 24 hrs)</t>
  </si>
  <si>
    <t>Electrolyser energy requirement (PEM, BOL)</t>
  </si>
  <si>
    <t>kWh / kg H₂</t>
  </si>
  <si>
    <t>H₂ Lower Heating Value (LHV)</t>
  </si>
  <si>
    <t>Fuel cell reconversion efficiency — baseline</t>
  </si>
  <si>
    <t>decimal  (50%)  (PEMFC)</t>
  </si>
  <si>
    <t>H₂ production cost — Scenario 1 (optimistic)</t>
  </si>
  <si>
    <t>USD / kg H₂</t>
  </si>
  <si>
    <t>H₂ production cost — Scenario 2 (conservative)</t>
  </si>
  <si>
    <t>Dry-season import price benchmark</t>
  </si>
  <si>
    <t>USD / kWh</t>
  </si>
  <si>
    <t>B.  FIVE-STEP SEQUENTIAL CALCULATION  (variable production cost only)</t>
  </si>
  <si>
    <t>Step</t>
  </si>
  <si>
    <t>Result</t>
  </si>
  <si>
    <t>Step 1 — Energy required in H₂ form</t>
  </si>
  <si>
    <t>Step 2 — Total H₂ mass to produce</t>
  </si>
  <si>
    <t>kg H₂</t>
  </si>
  <si>
    <t>Step 3a — Required production rate</t>
  </si>
  <si>
    <t>kg H₂ / hour</t>
  </si>
  <si>
    <t>Step 3b — Required electrolyser capacity</t>
  </si>
  <si>
    <t>Step 4 — Electricity output per kg H₂</t>
  </si>
  <si>
    <t>Step 5a — Output price, Scenario 1 (optimistic)</t>
  </si>
  <si>
    <t>Step 5b — Output price, Scenario 2 (conservative)</t>
  </si>
  <si>
    <t>Saving vs. import benchmark — Scenario 1 (variable cost)</t>
  </si>
  <si>
    <t>% saving</t>
  </si>
  <si>
    <t>Premium vs. import benchmark — Scenario 2 (variable cost)</t>
  </si>
  <si>
    <t>% premium</t>
  </si>
  <si>
    <t>Annual financial saving — Scenario 1 (variable cost only)</t>
  </si>
  <si>
    <t>USD / year</t>
  </si>
  <si>
    <t>25-year cumulative saving — Scenario 1 (undiscounted)</t>
  </si>
  <si>
    <t>USD</t>
  </si>
  <si>
    <t>FULL LEVELISED COST OF ELECTRICITY (LCOE) — BASELINE (50% PEMFC efficiency)</t>
  </si>
  <si>
    <t>Scenario 1
(Optimistic)</t>
  </si>
  <si>
    <t>Scenario 2
(Conservative)</t>
  </si>
  <si>
    <t>A.  CAPITAL COST ASSUMPTIONS AND CRF CALCULATION</t>
  </si>
  <si>
    <t>Discount rate</t>
  </si>
  <si>
    <t>decimal  (7%)</t>
  </si>
  <si>
    <t>Project lifetime</t>
  </si>
  <si>
    <t>years</t>
  </si>
  <si>
    <t>Capital Recovery Factor  (CRF)</t>
  </si>
  <si>
    <t>decimal</t>
  </si>
  <si>
    <t>Fuel cell plant CAPEX</t>
  </si>
  <si>
    <t>USD / kW</t>
  </si>
  <si>
    <t>Fuel cell average output capacity</t>
  </si>
  <si>
    <t>Fuel cell CAPEX — total investment</t>
  </si>
  <si>
    <t>Fuel cell CAPEX — annualised</t>
  </si>
  <si>
    <t>Fuel cell CAPEX — per kWh output</t>
  </si>
  <si>
    <t>H₂ storage CAPEX (underground salt cavern)</t>
  </si>
  <si>
    <t>H₂ storage volume  (from Step 2, Sheet 1)</t>
  </si>
  <si>
    <t>H₂ storage CAPEX — total investment</t>
  </si>
  <si>
    <t>H₂ storage CAPEX — annualised</t>
  </si>
  <si>
    <t>H₂ storage CAPEX — per kWh output</t>
  </si>
  <si>
    <t>B.  FULL LCOE BUILD-UP  (USD / kWh)</t>
  </si>
  <si>
    <t>Line Item</t>
  </si>
  <si>
    <t>Scenario 1</t>
  </si>
  <si>
    <t>Scenario 2</t>
  </si>
  <si>
    <t>Variable H₂ production cost</t>
  </si>
  <si>
    <t>Fuel cell CAPEX per kWh</t>
  </si>
  <si>
    <t>H₂ storage CAPEX per kWh</t>
  </si>
  <si>
    <t>FULL LCOE</t>
  </si>
  <si>
    <t>Import price benchmark</t>
  </si>
  <si>
    <t>Full LCOE premium vs. import price</t>
  </si>
  <si>
    <t>% above import</t>
  </si>
  <si>
    <t>SENSITIVITY ANALYSIS — VARIABLE COST AND FULL LCOE</t>
  </si>
  <si>
    <t>Section A: H₂ production cost is varied — one output price column (no Sc1/Sc2 split — they are identical when H₂ cost is the variable)</t>
  </si>
  <si>
    <t>Section B: Fuel cell efficiency is varied — storage CAPEX recalculated for actual H₂ volume needed at each efficiency level</t>
  </si>
  <si>
    <t>A.  H₂ PRODUCTION COST SENSITIVITY  (fuel cell efficiency fixed at 50% baseline)</t>
  </si>
  <si>
    <t>H₂ Cost
(USD/kg)</t>
  </si>
  <si>
    <t>Variable Cost
Output Price
(USD/kWh)</t>
  </si>
  <si>
    <t>Full LCOE
(USD/kWh)</t>
  </si>
  <si>
    <t>vs. Import
Benchmark
($0.11/kWh)</t>
  </si>
  <si>
    <t xml:space="preserve">Label </t>
  </si>
  <si>
    <t>Scenario 1 baseline (Roadmap optimistic, $10/MWh electricity)</t>
  </si>
  <si>
    <t>Variable-cost break-even: output price = $0.11/kWh import price</t>
  </si>
  <si>
    <t>Scenario 2 baseline (Roadmap conservative, $60/MWh electricity)</t>
  </si>
  <si>
    <t>B.  FUEL CELL EFFICIENCY SENSITIVITY  (H₂ cost fixed at $1.24/kg — Scenario 1)</t>
  </si>
  <si>
    <t>FC
Efficiency</t>
  </si>
  <si>
    <t>kWh / kg
H₂ output</t>
  </si>
  <si>
    <t>Variable Cost
(USD/kWh)
[$1.24/kg]</t>
  </si>
  <si>
    <t>H₂ Volume
Needed
(tonnes)</t>
  </si>
  <si>
    <t>Storage
CAPEX/kWh
(recalculated)</t>
  </si>
  <si>
    <t>Fuel Cell CAPEX
/kWh
(fixed)</t>
  </si>
  <si>
    <t>vs. Import / Technology Note</t>
  </si>
  <si>
    <t>Pessimistic PEMFC  |  Full LCOE above import price</t>
  </si>
  <si>
    <t>Baseline PEMFC  (Staffell et al. 2019) 
Full LCOE marginally above import price</t>
  </si>
  <si>
    <t>Optimistic SOFC 
Only scenario where Full LCOE &lt; import price</t>
  </si>
  <si>
    <t>C.  VARIABLE-COST BREAK-EVEN</t>
  </si>
  <si>
    <t>Break-even H₂ cost (variable cost = $0.11/kWh import price)</t>
  </si>
  <si>
    <t>% above Scenario 1 baseline ($1.24/kg)</t>
  </si>
  <si>
    <t>Full LCOE break-even (Full LCOE = $0.11/kWh import price)</t>
  </si>
  <si>
    <t>FINANCIAL IMPACT — SCENARIO 1, VARIABLE COST BASIS</t>
  </si>
  <si>
    <t>Variable production cost saving only 
does not include full LCOE capital cost impact (see Sheet 2)</t>
  </si>
  <si>
    <t>Metric</t>
  </si>
  <si>
    <t>Annual import volume</t>
  </si>
  <si>
    <t>P2H2P variable output price — Scenario 1</t>
  </si>
  <si>
    <t>Variable cost saving per kWh — Scenario 1</t>
  </si>
  <si>
    <t>Annual financial saving — Scenario 1</t>
  </si>
  <si>
    <t>Fuel cell and storage CAPEX annualised using Capital Recovery Factor (CRF) 
 (Discount rate 7% ;  Lifetime 20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</si>
</sst>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\$0.00"/>
    <numFmt numFmtId="166" formatCode="0.0000"/>
    <numFmt numFmtId="167" formatCode="\$0.0000"/>
    <numFmt numFmtId="168" formatCode="0.0%"/>
    <numFmt numFmtId="169" formatCode="\$#,##0"/>
    <numFmt numFmtId="170" formatCode="\$#,##0.00"/>
    <numFmt numFmtId="171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i/>
      <sz val="9"/>
      <color rgb="FF59595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D9D9D9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rgb="FFFCE4D6"/>
      </patternFill>
    </fill>
    <fill>
      <patternFill patternType="solid">
        <fgColor theme="0" tint="-4.9989318521683403E-2"/>
        <bgColor rgb="FFE2EFDA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5" fillId="3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3" fontId="6" fillId="0" borderId="1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9" fontId="6" fillId="0" borderId="1" xfId="1" applyNumberFormat="1" applyFont="1" applyBorder="1" applyAlignment="1">
      <alignment horizontal="right" vertical="center"/>
    </xf>
    <xf numFmtId="166" fontId="6" fillId="0" borderId="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167" fontId="7" fillId="0" borderId="1" xfId="1" applyNumberFormat="1" applyFont="1" applyBorder="1" applyAlignment="1">
      <alignment horizontal="right" vertical="center"/>
    </xf>
    <xf numFmtId="168" fontId="7" fillId="0" borderId="1" xfId="1" applyNumberFormat="1" applyFont="1" applyBorder="1" applyAlignment="1">
      <alignment horizontal="right" vertical="center"/>
    </xf>
    <xf numFmtId="169" fontId="7" fillId="0" borderId="1" xfId="1" applyNumberFormat="1" applyFont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9" fontId="6" fillId="4" borderId="1" xfId="1" applyNumberFormat="1" applyFont="1" applyFill="1" applyBorder="1" applyAlignment="1">
      <alignment horizontal="right" vertical="center"/>
    </xf>
    <xf numFmtId="0" fontId="6" fillId="4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 wrapText="1"/>
    </xf>
    <xf numFmtId="170" fontId="6" fillId="5" borderId="1" xfId="1" applyNumberFormat="1" applyFont="1" applyFill="1" applyBorder="1" applyAlignment="1">
      <alignment horizontal="right" vertical="center"/>
    </xf>
    <xf numFmtId="0" fontId="6" fillId="5" borderId="1" xfId="1" applyFont="1" applyFill="1" applyBorder="1" applyAlignment="1">
      <alignment horizontal="left" vertical="center"/>
    </xf>
    <xf numFmtId="166" fontId="6" fillId="4" borderId="1" xfId="1" applyNumberFormat="1" applyFont="1" applyFill="1" applyBorder="1" applyAlignment="1">
      <alignment horizontal="right" vertical="center"/>
    </xf>
    <xf numFmtId="3" fontId="6" fillId="5" borderId="1" xfId="1" applyNumberFormat="1" applyFont="1" applyFill="1" applyBorder="1" applyAlignment="1">
      <alignment horizontal="right" vertical="center"/>
    </xf>
    <xf numFmtId="169" fontId="6" fillId="5" borderId="1" xfId="1" applyNumberFormat="1" applyFont="1" applyFill="1" applyBorder="1" applyAlignment="1">
      <alignment horizontal="right" vertical="center"/>
    </xf>
    <xf numFmtId="0" fontId="7" fillId="4" borderId="1" xfId="1" applyFont="1" applyFill="1" applyBorder="1" applyAlignment="1">
      <alignment horizontal="left" vertical="center" wrapText="1"/>
    </xf>
    <xf numFmtId="169" fontId="7" fillId="4" borderId="1" xfId="1" applyNumberFormat="1" applyFont="1" applyFill="1" applyBorder="1" applyAlignment="1">
      <alignment horizontal="right" vertical="center"/>
    </xf>
    <xf numFmtId="0" fontId="7" fillId="5" borderId="1" xfId="1" applyFont="1" applyFill="1" applyBorder="1" applyAlignment="1">
      <alignment horizontal="left" vertical="center" wrapText="1"/>
    </xf>
    <xf numFmtId="167" fontId="7" fillId="5" borderId="1" xfId="1" applyNumberFormat="1" applyFont="1" applyFill="1" applyBorder="1" applyAlignment="1">
      <alignment horizontal="right" vertical="center"/>
    </xf>
    <xf numFmtId="170" fontId="6" fillId="4" borderId="1" xfId="1" applyNumberFormat="1" applyFont="1" applyFill="1" applyBorder="1" applyAlignment="1">
      <alignment horizontal="right" vertical="center"/>
    </xf>
    <xf numFmtId="166" fontId="6" fillId="5" borderId="1" xfId="1" applyNumberFormat="1" applyFont="1" applyFill="1" applyBorder="1" applyAlignment="1">
      <alignment horizontal="right" vertical="center"/>
    </xf>
    <xf numFmtId="169" fontId="6" fillId="4" borderId="1" xfId="1" applyNumberFormat="1" applyFont="1" applyFill="1" applyBorder="1" applyAlignment="1">
      <alignment horizontal="right" vertical="center"/>
    </xf>
    <xf numFmtId="169" fontId="7" fillId="5" borderId="1" xfId="1" applyNumberFormat="1" applyFont="1" applyFill="1" applyBorder="1" applyAlignment="1">
      <alignment horizontal="right" vertical="center"/>
    </xf>
    <xf numFmtId="167" fontId="7" fillId="4" borderId="1" xfId="1" applyNumberFormat="1" applyFont="1" applyFill="1" applyBorder="1" applyAlignment="1">
      <alignment horizontal="right" vertical="center"/>
    </xf>
    <xf numFmtId="0" fontId="7" fillId="3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right" vertical="center"/>
    </xf>
    <xf numFmtId="167" fontId="6" fillId="5" borderId="1" xfId="1" applyNumberFormat="1" applyFont="1" applyFill="1" applyBorder="1" applyAlignment="1">
      <alignment horizontal="right" vertical="center"/>
    </xf>
    <xf numFmtId="0" fontId="6" fillId="5" borderId="1" xfId="1" applyFont="1" applyFill="1" applyBorder="1"/>
    <xf numFmtId="0" fontId="7" fillId="3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right" vertical="center"/>
    </xf>
    <xf numFmtId="168" fontId="6" fillId="4" borderId="1" xfId="1" applyNumberFormat="1" applyFont="1" applyFill="1" applyBorder="1" applyAlignment="1">
      <alignment horizontal="right" vertical="center"/>
    </xf>
    <xf numFmtId="0" fontId="9" fillId="4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65" fontId="6" fillId="5" borderId="1" xfId="1" applyNumberFormat="1" applyFont="1" applyFill="1" applyBorder="1" applyAlignment="1">
      <alignment horizontal="right" vertical="center"/>
    </xf>
    <xf numFmtId="168" fontId="7" fillId="5" borderId="1" xfId="1" applyNumberFormat="1" applyFont="1" applyFill="1" applyBorder="1" applyAlignment="1">
      <alignment horizontal="right" vertical="center"/>
    </xf>
    <xf numFmtId="0" fontId="5" fillId="5" borderId="1" xfId="1" applyFont="1" applyFill="1" applyBorder="1" applyAlignment="1">
      <alignment horizontal="left" vertical="center"/>
    </xf>
    <xf numFmtId="9" fontId="6" fillId="7" borderId="1" xfId="1" applyNumberFormat="1" applyFont="1" applyFill="1" applyBorder="1" applyAlignment="1">
      <alignment horizontal="right" vertical="center"/>
    </xf>
    <xf numFmtId="164" fontId="7" fillId="7" borderId="1" xfId="1" applyNumberFormat="1" applyFont="1" applyFill="1" applyBorder="1" applyAlignment="1">
      <alignment horizontal="right" vertical="center"/>
    </xf>
    <xf numFmtId="167" fontId="7" fillId="7" borderId="1" xfId="1" applyNumberFormat="1" applyFont="1" applyFill="1" applyBorder="1" applyAlignment="1">
      <alignment horizontal="right" vertical="center"/>
    </xf>
    <xf numFmtId="171" fontId="7" fillId="7" borderId="1" xfId="1" applyNumberFormat="1" applyFont="1" applyFill="1" applyBorder="1" applyAlignment="1">
      <alignment horizontal="right" vertical="center"/>
    </xf>
    <xf numFmtId="0" fontId="9" fillId="7" borderId="1" xfId="1" applyFont="1" applyFill="1" applyBorder="1" applyAlignment="1">
      <alignment horizontal="left" vertical="center" wrapText="1"/>
    </xf>
    <xf numFmtId="164" fontId="7" fillId="0" borderId="1" xfId="1" applyNumberFormat="1" applyFont="1" applyBorder="1" applyAlignment="1">
      <alignment horizontal="right" vertical="center"/>
    </xf>
    <xf numFmtId="171" fontId="7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 wrapText="1"/>
    </xf>
    <xf numFmtId="9" fontId="6" fillId="8" borderId="1" xfId="1" applyNumberFormat="1" applyFont="1" applyFill="1" applyBorder="1" applyAlignment="1">
      <alignment horizontal="right" vertical="center"/>
    </xf>
    <xf numFmtId="164" fontId="7" fillId="8" borderId="1" xfId="1" applyNumberFormat="1" applyFont="1" applyFill="1" applyBorder="1" applyAlignment="1">
      <alignment horizontal="right" vertical="center"/>
    </xf>
    <xf numFmtId="167" fontId="7" fillId="8" borderId="1" xfId="1" applyNumberFormat="1" applyFont="1" applyFill="1" applyBorder="1" applyAlignment="1">
      <alignment horizontal="right" vertical="center"/>
    </xf>
    <xf numFmtId="171" fontId="7" fillId="8" borderId="1" xfId="1" applyNumberFormat="1" applyFont="1" applyFill="1" applyBorder="1" applyAlignment="1">
      <alignment horizontal="right" vertical="center"/>
    </xf>
    <xf numFmtId="0" fontId="9" fillId="8" borderId="1" xfId="1" applyFont="1" applyFill="1" applyBorder="1" applyAlignment="1">
      <alignment horizontal="left" vertical="center" wrapText="1"/>
    </xf>
    <xf numFmtId="167" fontId="5" fillId="9" borderId="1" xfId="1" applyNumberFormat="1" applyFont="1" applyFill="1" applyBorder="1" applyAlignment="1">
      <alignment horizontal="right" vertical="center"/>
    </xf>
    <xf numFmtId="0" fontId="9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vertical="center" wrapText="1"/>
    </xf>
    <xf numFmtId="168" fontId="5" fillId="9" borderId="1" xfId="1" applyNumberFormat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left" vertical="center"/>
    </xf>
    <xf numFmtId="169" fontId="7" fillId="6" borderId="1" xfId="1" applyNumberFormat="1" applyFont="1" applyFill="1" applyBorder="1" applyAlignment="1">
      <alignment horizontal="right" vertical="center"/>
    </xf>
    <xf numFmtId="0" fontId="6" fillId="6" borderId="1" xfId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left" vertical="center"/>
    </xf>
    <xf numFmtId="3" fontId="6" fillId="9" borderId="1" xfId="1" applyNumberFormat="1" applyFont="1" applyFill="1" applyBorder="1" applyAlignment="1">
      <alignment horizontal="right" vertical="center"/>
    </xf>
    <xf numFmtId="4" fontId="6" fillId="9" borderId="1" xfId="1" applyNumberFormat="1" applyFont="1" applyFill="1" applyBorder="1" applyAlignment="1">
      <alignment horizontal="right" vertical="center"/>
    </xf>
    <xf numFmtId="165" fontId="6" fillId="9" borderId="1" xfId="1" applyNumberFormat="1" applyFont="1" applyFill="1" applyBorder="1" applyAlignment="1">
      <alignment horizontal="right" vertical="center"/>
    </xf>
    <xf numFmtId="164" fontId="6" fillId="9" borderId="1" xfId="1" applyNumberFormat="1" applyFont="1" applyFill="1" applyBorder="1" applyAlignment="1">
      <alignment horizontal="right" vertical="center"/>
    </xf>
    <xf numFmtId="0" fontId="7" fillId="9" borderId="1" xfId="1" applyFont="1" applyFill="1" applyBorder="1" applyAlignment="1">
      <alignment horizontal="left" vertical="center"/>
    </xf>
    <xf numFmtId="167" fontId="7" fillId="9" borderId="1" xfId="1" applyNumberFormat="1" applyFont="1" applyFill="1" applyBorder="1" applyAlignment="1">
      <alignment horizontal="right" vertical="center"/>
    </xf>
    <xf numFmtId="168" fontId="7" fillId="9" borderId="1" xfId="1" applyNumberFormat="1" applyFont="1" applyFill="1" applyBorder="1" applyAlignment="1">
      <alignment horizontal="right" vertical="center"/>
    </xf>
    <xf numFmtId="169" fontId="7" fillId="9" borderId="1" xfId="1" applyNumberFormat="1" applyFont="1" applyFill="1" applyBorder="1" applyAlignment="1">
      <alignment horizontal="right" vertical="center"/>
    </xf>
    <xf numFmtId="10" fontId="6" fillId="0" borderId="1" xfId="1" applyNumberFormat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right" vertical="center"/>
    </xf>
    <xf numFmtId="0" fontId="8" fillId="6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8" borderId="2" xfId="1" applyFont="1" applyFill="1" applyBorder="1" applyAlignment="1">
      <alignment horizontal="center"/>
    </xf>
    <xf numFmtId="0" fontId="6" fillId="8" borderId="3" xfId="1" applyFont="1" applyFill="1" applyBorder="1" applyAlignment="1">
      <alignment horizontal="center"/>
    </xf>
    <xf numFmtId="0" fontId="6" fillId="8" borderId="2" xfId="1" applyFont="1" applyFill="1" applyBorder="1" applyAlignment="1">
      <alignment horizontal="left"/>
    </xf>
    <xf numFmtId="0" fontId="6" fillId="8" borderId="3" xfId="1" applyFont="1" applyFill="1" applyBorder="1" applyAlignment="1">
      <alignment horizontal="left"/>
    </xf>
    <xf numFmtId="167" fontId="6" fillId="0" borderId="1" xfId="1" applyNumberFormat="1" applyFont="1" applyBorder="1" applyAlignment="1">
      <alignment horizontal="right" vertical="center"/>
    </xf>
    <xf numFmtId="167" fontId="6" fillId="5" borderId="1" xfId="1" applyNumberFormat="1" applyFont="1" applyFill="1" applyBorder="1" applyAlignment="1">
      <alignment horizontal="right" vertical="center"/>
    </xf>
    <xf numFmtId="0" fontId="8" fillId="6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F7791EA-CD43-4A0D-AD81-7FD8C4D7A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dmin/Desktop/P2H2P_Supplementary_Model_Phonthana%20Sipaseuth_Final.xlsx" TargetMode="External"/><Relationship Id="rId1" Type="http://schemas.openxmlformats.org/officeDocument/2006/relationships/externalLinkPath" Target="file:///C:/Users/Admin/Desktop/P2H2P_Supplementary_Model_Phonthana%20Sipaseuth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Five-Step Model"/>
      <sheetName val="2. Full LCOE"/>
      <sheetName val="3. Sensitivity Analysis"/>
      <sheetName val="4. Financial Impact"/>
    </sheetNames>
    <sheetDataSet>
      <sheetData sheetId="0">
        <row r="6">
          <cell r="B6">
            <v>1765</v>
          </cell>
        </row>
        <row r="10">
          <cell r="B10">
            <v>33.33</v>
          </cell>
        </row>
        <row r="12">
          <cell r="B12">
            <v>1.24</v>
          </cell>
        </row>
        <row r="14">
          <cell r="B14">
            <v>0.11</v>
          </cell>
        </row>
        <row r="20">
          <cell r="B20">
            <v>105910591.05910592</v>
          </cell>
        </row>
        <row r="23">
          <cell r="B23">
            <v>16.664999999999999</v>
          </cell>
        </row>
        <row r="24">
          <cell r="B24">
            <v>7.4407440744074405E-2</v>
          </cell>
        </row>
        <row r="25">
          <cell r="B25">
            <v>0.20402040204020402</v>
          </cell>
        </row>
      </sheetData>
      <sheetData sheetId="1">
        <row r="8">
          <cell r="B8">
            <v>9.4392925743255696E-2</v>
          </cell>
        </row>
        <row r="13">
          <cell r="B13">
            <v>2.9541489723352243E-2</v>
          </cell>
        </row>
        <row r="14">
          <cell r="B14">
            <v>2.2999999999999998</v>
          </cell>
        </row>
        <row r="18">
          <cell r="B18">
            <v>1.3027526505219808E-2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F775-A786-46E4-AEC1-81AF8ED2E732}">
  <dimension ref="A1:C29"/>
  <sheetViews>
    <sheetView showGridLines="0" tabSelected="1" zoomScale="94" zoomScaleNormal="94" workbookViewId="0">
      <pane ySplit="5" topLeftCell="A16" activePane="bottomLeft" state="frozen"/>
      <selection pane="bottomLeft" activeCell="A21" sqref="A21"/>
    </sheetView>
  </sheetViews>
  <sheetFormatPr baseColWidth="10" defaultColWidth="8.6640625" defaultRowHeight="15" x14ac:dyDescent="0.2"/>
  <cols>
    <col min="1" max="1" width="52.1640625" style="1" customWidth="1"/>
    <col min="2" max="2" width="18" style="1" customWidth="1"/>
    <col min="3" max="3" width="37.33203125" style="1" customWidth="1"/>
    <col min="4" max="16384" width="8.6640625" style="1"/>
  </cols>
  <sheetData>
    <row r="1" spans="1:3" ht="27.75" customHeight="1" x14ac:dyDescent="0.2">
      <c r="A1" s="73" t="s">
        <v>7</v>
      </c>
      <c r="B1" s="73"/>
      <c r="C1" s="73"/>
    </row>
    <row r="2" spans="1:3" ht="15" customHeight="1" x14ac:dyDescent="0.2">
      <c r="A2" s="74" t="s">
        <v>8</v>
      </c>
      <c r="B2" s="74"/>
      <c r="C2" s="74"/>
    </row>
    <row r="4" spans="1:3" ht="19.5" customHeight="1" x14ac:dyDescent="0.2">
      <c r="A4" s="75" t="s">
        <v>9</v>
      </c>
      <c r="B4" s="75"/>
      <c r="C4" s="75"/>
    </row>
    <row r="5" spans="1:3" ht="15" customHeight="1" x14ac:dyDescent="0.2">
      <c r="A5" s="2" t="s">
        <v>0</v>
      </c>
      <c r="B5" s="2" t="s">
        <v>1</v>
      </c>
      <c r="C5" s="2" t="s">
        <v>2</v>
      </c>
    </row>
    <row r="6" spans="1:3" ht="18" customHeight="1" x14ac:dyDescent="0.2">
      <c r="A6" s="63" t="s">
        <v>10</v>
      </c>
      <c r="B6" s="64">
        <v>1765</v>
      </c>
      <c r="C6" s="63" t="s">
        <v>11</v>
      </c>
    </row>
    <row r="7" spans="1:3" ht="18" customHeight="1" x14ac:dyDescent="0.2">
      <c r="A7" s="3" t="s">
        <v>12</v>
      </c>
      <c r="B7" s="5">
        <v>2</v>
      </c>
      <c r="C7" s="3" t="s">
        <v>4</v>
      </c>
    </row>
    <row r="8" spans="1:3" ht="18" customHeight="1" x14ac:dyDescent="0.2">
      <c r="A8" s="63" t="s">
        <v>13</v>
      </c>
      <c r="B8" s="64">
        <v>4320</v>
      </c>
      <c r="C8" s="63" t="s">
        <v>14</v>
      </c>
    </row>
    <row r="9" spans="1:3" ht="18" customHeight="1" x14ac:dyDescent="0.2">
      <c r="A9" s="3" t="s">
        <v>15</v>
      </c>
      <c r="B9" s="4">
        <v>55</v>
      </c>
      <c r="C9" s="3" t="s">
        <v>16</v>
      </c>
    </row>
    <row r="10" spans="1:3" ht="18" customHeight="1" x14ac:dyDescent="0.2">
      <c r="A10" s="63" t="s">
        <v>17</v>
      </c>
      <c r="B10" s="65">
        <v>33.33</v>
      </c>
      <c r="C10" s="63" t="s">
        <v>16</v>
      </c>
    </row>
    <row r="11" spans="1:3" ht="18" customHeight="1" x14ac:dyDescent="0.2">
      <c r="A11" s="3" t="s">
        <v>18</v>
      </c>
      <c r="B11" s="6">
        <v>0.5</v>
      </c>
      <c r="C11" s="3" t="s">
        <v>19</v>
      </c>
    </row>
    <row r="12" spans="1:3" ht="18" customHeight="1" x14ac:dyDescent="0.2">
      <c r="A12" s="63" t="s">
        <v>20</v>
      </c>
      <c r="B12" s="66">
        <v>1.24</v>
      </c>
      <c r="C12" s="63" t="s">
        <v>21</v>
      </c>
    </row>
    <row r="13" spans="1:3" ht="18" customHeight="1" x14ac:dyDescent="0.2">
      <c r="A13" s="3" t="s">
        <v>22</v>
      </c>
      <c r="B13" s="5">
        <v>3.4</v>
      </c>
      <c r="C13" s="3" t="s">
        <v>21</v>
      </c>
    </row>
    <row r="14" spans="1:3" ht="18" customHeight="1" x14ac:dyDescent="0.2">
      <c r="A14" s="63" t="s">
        <v>23</v>
      </c>
      <c r="B14" s="66">
        <v>0.11</v>
      </c>
      <c r="C14" s="63" t="s">
        <v>24</v>
      </c>
    </row>
    <row r="17" spans="1:3" ht="19.5" customHeight="1" x14ac:dyDescent="0.2">
      <c r="A17" s="75" t="s">
        <v>25</v>
      </c>
      <c r="B17" s="75"/>
      <c r="C17" s="75"/>
    </row>
    <row r="18" spans="1:3" ht="15" customHeight="1" x14ac:dyDescent="0.2">
      <c r="A18" s="2" t="s">
        <v>26</v>
      </c>
      <c r="B18" s="2" t="s">
        <v>27</v>
      </c>
      <c r="C18" s="2" t="s">
        <v>2</v>
      </c>
    </row>
    <row r="19" spans="1:3" ht="18" customHeight="1" x14ac:dyDescent="0.2">
      <c r="A19" s="63" t="s">
        <v>28</v>
      </c>
      <c r="B19" s="65">
        <f>B6/B11</f>
        <v>3530</v>
      </c>
      <c r="C19" s="63" t="s">
        <v>3</v>
      </c>
    </row>
    <row r="20" spans="1:3" ht="18" customHeight="1" x14ac:dyDescent="0.2">
      <c r="A20" s="3" t="s">
        <v>29</v>
      </c>
      <c r="B20" s="4">
        <f>B19*1000000/B10</f>
        <v>105910591.05910592</v>
      </c>
      <c r="C20" s="3" t="s">
        <v>30</v>
      </c>
    </row>
    <row r="21" spans="1:3" ht="18" customHeight="1" x14ac:dyDescent="0.2">
      <c r="A21" s="63" t="s">
        <v>31</v>
      </c>
      <c r="B21" s="65">
        <f>B20/B8</f>
        <v>24516.340522941184</v>
      </c>
      <c r="C21" s="63" t="s">
        <v>32</v>
      </c>
    </row>
    <row r="22" spans="1:3" ht="18" customHeight="1" x14ac:dyDescent="0.2">
      <c r="A22" s="3" t="s">
        <v>33</v>
      </c>
      <c r="B22" s="7">
        <f>B21*B9/1000000</f>
        <v>1.3483987287617651</v>
      </c>
      <c r="C22" s="3" t="s">
        <v>4</v>
      </c>
    </row>
    <row r="23" spans="1:3" ht="18" customHeight="1" x14ac:dyDescent="0.2">
      <c r="A23" s="63" t="s">
        <v>34</v>
      </c>
      <c r="B23" s="67">
        <f>B10*B11</f>
        <v>16.664999999999999</v>
      </c>
      <c r="C23" s="63" t="s">
        <v>16</v>
      </c>
    </row>
    <row r="24" spans="1:3" ht="18" customHeight="1" x14ac:dyDescent="0.2">
      <c r="A24" s="8" t="s">
        <v>35</v>
      </c>
      <c r="B24" s="9">
        <f>B12/B23</f>
        <v>7.4407440744074405E-2</v>
      </c>
      <c r="C24" s="3" t="s">
        <v>24</v>
      </c>
    </row>
    <row r="25" spans="1:3" ht="18" customHeight="1" x14ac:dyDescent="0.2">
      <c r="A25" s="68" t="s">
        <v>36</v>
      </c>
      <c r="B25" s="69">
        <f>B13/B23</f>
        <v>0.20402040204020402</v>
      </c>
      <c r="C25" s="63" t="s">
        <v>24</v>
      </c>
    </row>
    <row r="26" spans="1:3" ht="21.75" customHeight="1" x14ac:dyDescent="0.2">
      <c r="A26" s="3" t="s">
        <v>37</v>
      </c>
      <c r="B26" s="10">
        <f>(B14-B24)/B14</f>
        <v>0.32356872050841451</v>
      </c>
      <c r="C26" s="3" t="s">
        <v>38</v>
      </c>
    </row>
    <row r="27" spans="1:3" ht="21.75" customHeight="1" x14ac:dyDescent="0.2">
      <c r="A27" s="63" t="s">
        <v>39</v>
      </c>
      <c r="B27" s="70">
        <f>(B25-B14)/B14</f>
        <v>0.85473092763821834</v>
      </c>
      <c r="C27" s="63" t="s">
        <v>40</v>
      </c>
    </row>
    <row r="28" spans="1:3" ht="15" customHeight="1" x14ac:dyDescent="0.2">
      <c r="A28" s="3" t="s">
        <v>41</v>
      </c>
      <c r="B28" s="11">
        <f>(B14-B24)*B6*1000000</f>
        <v>62820867.086708672</v>
      </c>
      <c r="C28" s="3" t="s">
        <v>42</v>
      </c>
    </row>
    <row r="29" spans="1:3" ht="15" customHeight="1" x14ac:dyDescent="0.2">
      <c r="A29" s="63" t="s">
        <v>43</v>
      </c>
      <c r="B29" s="71">
        <f>B28*25</f>
        <v>1570521677.1677167</v>
      </c>
      <c r="C29" s="63" t="s">
        <v>44</v>
      </c>
    </row>
  </sheetData>
  <mergeCells count="4">
    <mergeCell ref="A1:C1"/>
    <mergeCell ref="A2:C2"/>
    <mergeCell ref="A4:C4"/>
    <mergeCell ref="A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E845-385F-4832-A301-8781A250AD81}">
  <dimension ref="A1:D28"/>
  <sheetViews>
    <sheetView showGridLines="0" zoomScaleNormal="100" workbookViewId="0">
      <pane ySplit="4" topLeftCell="A16" activePane="bottomLeft" state="frozen"/>
      <selection pane="bottomLeft" activeCell="F23" sqref="F23"/>
    </sheetView>
  </sheetViews>
  <sheetFormatPr baseColWidth="10" defaultColWidth="8.6640625" defaultRowHeight="15" x14ac:dyDescent="0.2"/>
  <cols>
    <col min="1" max="1" width="40" style="1" customWidth="1"/>
    <col min="2" max="3" width="16" style="1" customWidth="1"/>
    <col min="4" max="4" width="14" style="1" customWidth="1"/>
    <col min="5" max="16384" width="8.6640625" style="1"/>
  </cols>
  <sheetData>
    <row r="1" spans="1:4" ht="27.75" customHeight="1" x14ac:dyDescent="0.2">
      <c r="A1" s="73" t="s">
        <v>45</v>
      </c>
      <c r="B1" s="73"/>
      <c r="C1" s="73"/>
      <c r="D1" s="73"/>
    </row>
    <row r="2" spans="1:4" ht="30.5" customHeight="1" x14ac:dyDescent="0.2">
      <c r="A2" s="76" t="s">
        <v>111</v>
      </c>
      <c r="B2" s="74"/>
      <c r="C2" s="74"/>
      <c r="D2" s="74"/>
    </row>
    <row r="4" spans="1:4" ht="30" customHeight="1" x14ac:dyDescent="0.2">
      <c r="A4" s="12" t="s">
        <v>0</v>
      </c>
      <c r="B4" s="12" t="s">
        <v>46</v>
      </c>
      <c r="C4" s="12" t="s">
        <v>47</v>
      </c>
      <c r="D4" s="12" t="s">
        <v>2</v>
      </c>
    </row>
    <row r="5" spans="1:4" ht="19.5" customHeight="1" x14ac:dyDescent="0.2">
      <c r="A5" s="75" t="s">
        <v>48</v>
      </c>
      <c r="B5" s="75"/>
      <c r="C5" s="75"/>
      <c r="D5" s="75"/>
    </row>
    <row r="6" spans="1:4" ht="19.5" customHeight="1" x14ac:dyDescent="0.2">
      <c r="A6" s="13" t="s">
        <v>49</v>
      </c>
      <c r="B6" s="14">
        <v>7.0000000000000007E-2</v>
      </c>
      <c r="C6" s="14">
        <v>7.0000000000000007E-2</v>
      </c>
      <c r="D6" s="15" t="s">
        <v>50</v>
      </c>
    </row>
    <row r="7" spans="1:4" ht="19.5" customHeight="1" x14ac:dyDescent="0.2">
      <c r="A7" s="16" t="s">
        <v>51</v>
      </c>
      <c r="B7" s="17">
        <v>20</v>
      </c>
      <c r="C7" s="17">
        <v>20</v>
      </c>
      <c r="D7" s="18" t="s">
        <v>52</v>
      </c>
    </row>
    <row r="8" spans="1:4" ht="19.25" customHeight="1" x14ac:dyDescent="0.2">
      <c r="A8" s="13" t="s">
        <v>53</v>
      </c>
      <c r="B8" s="19">
        <f>B6*((1+B6)^B7)/(((1+B6)^B7)-1)</f>
        <v>9.4392925743255696E-2</v>
      </c>
      <c r="C8" s="19">
        <f>C6*((1+C6)^C7)/(((1+C6)^C7)-1)</f>
        <v>9.4392925743255696E-2</v>
      </c>
      <c r="D8" s="15" t="s">
        <v>54</v>
      </c>
    </row>
    <row r="9" spans="1:4" ht="19.5" customHeight="1" x14ac:dyDescent="0.2">
      <c r="A9" s="16" t="s">
        <v>55</v>
      </c>
      <c r="B9" s="20">
        <v>1352</v>
      </c>
      <c r="C9" s="20">
        <v>1352</v>
      </c>
      <c r="D9" s="18" t="s">
        <v>56</v>
      </c>
    </row>
    <row r="10" spans="1:4" ht="19.5" customHeight="1" x14ac:dyDescent="0.2">
      <c r="A10" s="13" t="s">
        <v>57</v>
      </c>
      <c r="B10" s="19">
        <f>'[1]1. Five-Step Model'!B6*1000000/4320/1000</f>
        <v>408.56481481481484</v>
      </c>
      <c r="C10" s="19">
        <f>'[1]1. Five-Step Model'!B6*1000000/4320/1000</f>
        <v>408.56481481481484</v>
      </c>
      <c r="D10" s="15" t="s">
        <v>6</v>
      </c>
    </row>
    <row r="11" spans="1:4" ht="19.5" customHeight="1" x14ac:dyDescent="0.2">
      <c r="A11" s="16" t="s">
        <v>58</v>
      </c>
      <c r="B11" s="21">
        <f>B9*B10*1000</f>
        <v>552379629.62962961</v>
      </c>
      <c r="C11" s="21">
        <f>C9*C10*1000</f>
        <v>552379629.62962961</v>
      </c>
      <c r="D11" s="18" t="s">
        <v>44</v>
      </c>
    </row>
    <row r="12" spans="1:4" ht="19.5" customHeight="1" x14ac:dyDescent="0.2">
      <c r="A12" s="22" t="s">
        <v>59</v>
      </c>
      <c r="B12" s="23">
        <f>B11*B8</f>
        <v>52140729.36171671</v>
      </c>
      <c r="C12" s="23">
        <f>C11*C8</f>
        <v>52140729.36171671</v>
      </c>
      <c r="D12" s="15" t="s">
        <v>42</v>
      </c>
    </row>
    <row r="13" spans="1:4" ht="19.5" customHeight="1" x14ac:dyDescent="0.2">
      <c r="A13" s="24" t="s">
        <v>60</v>
      </c>
      <c r="B13" s="25">
        <f>B12/('[1]1. Five-Step Model'!B6*1000000)</f>
        <v>2.9541489723352243E-2</v>
      </c>
      <c r="C13" s="25">
        <f>C12/('[1]1. Five-Step Model'!B6*1000000)</f>
        <v>2.9541489723352243E-2</v>
      </c>
      <c r="D13" s="18" t="s">
        <v>24</v>
      </c>
    </row>
    <row r="14" spans="1:4" ht="19.5" customHeight="1" x14ac:dyDescent="0.2">
      <c r="A14" s="13" t="s">
        <v>61</v>
      </c>
      <c r="B14" s="26">
        <v>2.2999999999999998</v>
      </c>
      <c r="C14" s="26">
        <v>2.2999999999999998</v>
      </c>
      <c r="D14" s="15" t="s">
        <v>21</v>
      </c>
    </row>
    <row r="15" spans="1:4" ht="19.5" customHeight="1" x14ac:dyDescent="0.2">
      <c r="A15" s="16" t="s">
        <v>62</v>
      </c>
      <c r="B15" s="27">
        <f>'[1]1. Five-Step Model'!B20</f>
        <v>105910591.05910592</v>
      </c>
      <c r="C15" s="27">
        <f>'[1]1. Five-Step Model'!B20</f>
        <v>105910591.05910592</v>
      </c>
      <c r="D15" s="18" t="s">
        <v>30</v>
      </c>
    </row>
    <row r="16" spans="1:4" ht="19.5" customHeight="1" x14ac:dyDescent="0.2">
      <c r="A16" s="13" t="s">
        <v>63</v>
      </c>
      <c r="B16" s="28">
        <f>B14*B15</f>
        <v>243594359.4359436</v>
      </c>
      <c r="C16" s="28">
        <f>C14*C15</f>
        <v>243594359.4359436</v>
      </c>
      <c r="D16" s="15" t="s">
        <v>44</v>
      </c>
    </row>
    <row r="17" spans="1:4" ht="19.5" customHeight="1" x14ac:dyDescent="0.2">
      <c r="A17" s="24" t="s">
        <v>64</v>
      </c>
      <c r="B17" s="29">
        <f>B16*B8</f>
        <v>22993584.28171296</v>
      </c>
      <c r="C17" s="29">
        <f>C16*C8</f>
        <v>22993584.28171296</v>
      </c>
      <c r="D17" s="18" t="s">
        <v>42</v>
      </c>
    </row>
    <row r="18" spans="1:4" ht="19.5" customHeight="1" x14ac:dyDescent="0.2">
      <c r="A18" s="22" t="s">
        <v>65</v>
      </c>
      <c r="B18" s="30">
        <f>B17/('[1]1. Five-Step Model'!B6*1000000)</f>
        <v>1.3027526505219808E-2</v>
      </c>
      <c r="C18" s="30">
        <f>C17/('[1]1. Five-Step Model'!B6*1000000)</f>
        <v>1.3027526505219808E-2</v>
      </c>
      <c r="D18" s="15" t="s">
        <v>24</v>
      </c>
    </row>
    <row r="21" spans="1:4" ht="19.5" customHeight="1" x14ac:dyDescent="0.2">
      <c r="A21" s="75" t="s">
        <v>66</v>
      </c>
      <c r="B21" s="75"/>
      <c r="C21" s="75"/>
      <c r="D21" s="75"/>
    </row>
    <row r="22" spans="1:4" ht="15" customHeight="1" x14ac:dyDescent="0.2">
      <c r="A22" s="31" t="s">
        <v>67</v>
      </c>
      <c r="B22" s="31" t="s">
        <v>68</v>
      </c>
      <c r="C22" s="31" t="s">
        <v>69</v>
      </c>
      <c r="D22" s="31" t="s">
        <v>2</v>
      </c>
    </row>
    <row r="23" spans="1:4" ht="18" customHeight="1" x14ac:dyDescent="0.2">
      <c r="A23" s="15" t="s">
        <v>70</v>
      </c>
      <c r="B23" s="32">
        <f>'[1]1. Five-Step Model'!B24</f>
        <v>7.4407440744074405E-2</v>
      </c>
      <c r="C23" s="32">
        <f>'[1]1. Five-Step Model'!B25</f>
        <v>0.20402040204020402</v>
      </c>
      <c r="D23" s="15" t="s">
        <v>24</v>
      </c>
    </row>
    <row r="24" spans="1:4" ht="18" customHeight="1" x14ac:dyDescent="0.2">
      <c r="A24" s="18" t="s">
        <v>71</v>
      </c>
      <c r="B24" s="33">
        <f>B13</f>
        <v>2.9541489723352243E-2</v>
      </c>
      <c r="C24" s="33">
        <f>C13</f>
        <v>2.9541489723352243E-2</v>
      </c>
      <c r="D24" s="18" t="s">
        <v>24</v>
      </c>
    </row>
    <row r="25" spans="1:4" ht="18" customHeight="1" x14ac:dyDescent="0.2">
      <c r="A25" s="15" t="s">
        <v>72</v>
      </c>
      <c r="B25" s="32">
        <f>B18</f>
        <v>1.3027526505219808E-2</v>
      </c>
      <c r="C25" s="32">
        <f>C18</f>
        <v>1.3027526505219808E-2</v>
      </c>
      <c r="D25" s="15" t="s">
        <v>24</v>
      </c>
    </row>
    <row r="26" spans="1:4" ht="18" customHeight="1" x14ac:dyDescent="0.2">
      <c r="A26" s="8" t="s">
        <v>73</v>
      </c>
      <c r="B26" s="9">
        <f>B23+B24+B25</f>
        <v>0.11697645697264646</v>
      </c>
      <c r="C26" s="9">
        <f>C23+C24+C25</f>
        <v>0.24658941826877606</v>
      </c>
      <c r="D26" s="3" t="s">
        <v>24</v>
      </c>
    </row>
    <row r="27" spans="1:4" ht="18" customHeight="1" x14ac:dyDescent="0.2">
      <c r="A27" s="15" t="s">
        <v>74</v>
      </c>
      <c r="B27" s="32">
        <f>'[1]1. Five-Step Model'!B14</f>
        <v>0.11</v>
      </c>
      <c r="C27" s="32">
        <f>'[1]1. Five-Step Model'!B14</f>
        <v>0.11</v>
      </c>
      <c r="D27" s="15" t="s">
        <v>24</v>
      </c>
    </row>
    <row r="28" spans="1:4" ht="18" customHeight="1" x14ac:dyDescent="0.2">
      <c r="A28" s="3" t="s">
        <v>75</v>
      </c>
      <c r="B28" s="72">
        <f>(B26-B27)/B27</f>
        <v>6.3422336114967781E-2</v>
      </c>
      <c r="C28" s="72">
        <f>(C26-C27)/C27</f>
        <v>1.2417219842616007</v>
      </c>
      <c r="D28" s="3" t="s">
        <v>76</v>
      </c>
    </row>
  </sheetData>
  <mergeCells count="4">
    <mergeCell ref="A1:D1"/>
    <mergeCell ref="A2:D2"/>
    <mergeCell ref="A5:D5"/>
    <mergeCell ref="A21:D2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4EF2-0027-4745-BE00-7E2381FDED85}">
  <dimension ref="A1:H31"/>
  <sheetViews>
    <sheetView showGridLines="0" zoomScaleNormal="100" workbookViewId="0">
      <pane ySplit="4" topLeftCell="A23" activePane="bottomLeft" state="frozen"/>
      <selection pane="bottomLeft" activeCell="A18" sqref="A18"/>
    </sheetView>
  </sheetViews>
  <sheetFormatPr baseColWidth="10" defaultColWidth="8.6640625" defaultRowHeight="15" x14ac:dyDescent="0.2"/>
  <cols>
    <col min="1" max="1" width="34" style="1" customWidth="1"/>
    <col min="2" max="2" width="16" style="1" customWidth="1"/>
    <col min="3" max="7" width="18" style="1" customWidth="1"/>
    <col min="8" max="8" width="36" style="1" customWidth="1"/>
    <col min="9" max="16384" width="8.6640625" style="1"/>
  </cols>
  <sheetData>
    <row r="1" spans="1:8" ht="27.75" customHeight="1" x14ac:dyDescent="0.2">
      <c r="A1" s="73" t="s">
        <v>77</v>
      </c>
      <c r="B1" s="73"/>
      <c r="C1" s="73"/>
      <c r="D1" s="73"/>
      <c r="E1" s="73"/>
      <c r="F1" s="73"/>
      <c r="G1" s="73"/>
      <c r="H1" s="73"/>
    </row>
    <row r="2" spans="1:8" ht="15" customHeight="1" x14ac:dyDescent="0.2">
      <c r="A2" s="74" t="s">
        <v>78</v>
      </c>
      <c r="B2" s="74"/>
      <c r="C2" s="74"/>
      <c r="D2" s="74"/>
      <c r="E2" s="74"/>
      <c r="F2" s="74"/>
      <c r="G2" s="74"/>
      <c r="H2" s="74"/>
    </row>
    <row r="3" spans="1:8" ht="15" customHeight="1" x14ac:dyDescent="0.2">
      <c r="A3" s="78" t="s">
        <v>79</v>
      </c>
      <c r="B3" s="78"/>
      <c r="C3" s="78"/>
      <c r="D3" s="78"/>
      <c r="E3" s="78"/>
      <c r="F3" s="78"/>
      <c r="G3" s="78"/>
      <c r="H3" s="78"/>
    </row>
    <row r="4" spans="1:8" ht="15" customHeight="1" x14ac:dyDescent="0.2">
      <c r="A4" s="34"/>
      <c r="B4" s="34"/>
      <c r="C4" s="34"/>
      <c r="D4" s="34"/>
      <c r="E4" s="34"/>
      <c r="F4" s="34"/>
      <c r="G4" s="34"/>
      <c r="H4" s="34"/>
    </row>
    <row r="5" spans="1:8" ht="19.5" customHeight="1" x14ac:dyDescent="0.2">
      <c r="A5" s="75" t="s">
        <v>80</v>
      </c>
      <c r="B5" s="75"/>
      <c r="C5" s="75"/>
      <c r="D5" s="75"/>
      <c r="E5" s="75"/>
      <c r="F5" s="75"/>
      <c r="G5" s="75"/>
      <c r="H5" s="75"/>
    </row>
    <row r="6" spans="1:8" ht="45" customHeight="1" x14ac:dyDescent="0.2">
      <c r="A6" s="35" t="s">
        <v>81</v>
      </c>
      <c r="B6" s="35" t="s">
        <v>82</v>
      </c>
      <c r="C6" s="35" t="s">
        <v>83</v>
      </c>
      <c r="D6" s="35" t="s">
        <v>84</v>
      </c>
      <c r="E6" s="79" t="s">
        <v>85</v>
      </c>
      <c r="F6" s="79"/>
      <c r="G6" s="79"/>
      <c r="H6" s="12"/>
    </row>
    <row r="7" spans="1:8" ht="18" customHeight="1" x14ac:dyDescent="0.2">
      <c r="A7" s="36">
        <v>1</v>
      </c>
      <c r="B7" s="32">
        <f>A7/'[1]1. Five-Step Model'!B23</f>
        <v>6.0006000600060012E-2</v>
      </c>
      <c r="C7" s="32">
        <f>B7+'[1]2. Full LCOE'!B13+'[1]2. Full LCOE'!B18</f>
        <v>0.10257501682863206</v>
      </c>
      <c r="D7" s="37">
        <f>(C7-'[1]1. Five-Step Model'!B14)/'[1]1. Five-Step Model'!B14</f>
        <v>-6.7499847012435846E-2</v>
      </c>
      <c r="E7" s="77"/>
      <c r="F7" s="77"/>
      <c r="G7" s="77"/>
      <c r="H7" s="38"/>
    </row>
    <row r="8" spans="1:8" ht="18" customHeight="1" x14ac:dyDescent="0.2">
      <c r="A8" s="5">
        <v>1.24</v>
      </c>
      <c r="B8" s="9">
        <f>A8/'[1]1. Five-Step Model'!B23</f>
        <v>7.4407440744074405E-2</v>
      </c>
      <c r="C8" s="9">
        <f>B8+'[1]2. Full LCOE'!B13+'[1]2. Full LCOE'!B18</f>
        <v>0.11697645697264646</v>
      </c>
      <c r="D8" s="10">
        <f>(C8-'[1]1. Five-Step Model'!B14)/'[1]1. Five-Step Model'!B14</f>
        <v>6.3422336114967781E-2</v>
      </c>
      <c r="E8" s="84" t="s">
        <v>86</v>
      </c>
      <c r="F8" s="84"/>
      <c r="G8" s="84"/>
      <c r="H8" s="39"/>
    </row>
    <row r="9" spans="1:8" ht="18" customHeight="1" x14ac:dyDescent="0.2">
      <c r="A9" s="36">
        <v>1.5</v>
      </c>
      <c r="B9" s="32">
        <f>A9/'[1]1. Five-Step Model'!B23</f>
        <v>9.0009000900090008E-2</v>
      </c>
      <c r="C9" s="32">
        <f>B9+'[1]2. Full LCOE'!B13+'[1]2. Full LCOE'!B18</f>
        <v>0.13257801712866207</v>
      </c>
      <c r="D9" s="37">
        <f>(C9-'[1]1. Five-Step Model'!B14)/'[1]1. Five-Step Model'!B14</f>
        <v>0.20525470116965522</v>
      </c>
      <c r="E9" s="77"/>
      <c r="F9" s="77"/>
      <c r="G9" s="77"/>
      <c r="H9" s="38"/>
    </row>
    <row r="10" spans="1:8" ht="18" customHeight="1" x14ac:dyDescent="0.2">
      <c r="A10" s="40">
        <v>1.83</v>
      </c>
      <c r="B10" s="25">
        <f>A10/'[1]1. Five-Step Model'!B23</f>
        <v>0.10981098109810983</v>
      </c>
      <c r="C10" s="25">
        <f>B10+'[1]2. Full LCOE'!B13+'[1]2. Full LCOE'!B18</f>
        <v>0.15237999732668189</v>
      </c>
      <c r="D10" s="41">
        <f>(C10-'[1]1. Five-Step Model'!B14)/'[1]1. Five-Step Model'!B14</f>
        <v>0.3852727029698354</v>
      </c>
      <c r="E10" s="85" t="s">
        <v>87</v>
      </c>
      <c r="F10" s="85"/>
      <c r="G10" s="85"/>
      <c r="H10" s="42"/>
    </row>
    <row r="11" spans="1:8" ht="18" customHeight="1" x14ac:dyDescent="0.2">
      <c r="A11" s="36">
        <v>2</v>
      </c>
      <c r="B11" s="32">
        <f>A11/'[1]1. Five-Step Model'!B23</f>
        <v>0.12001200120012002</v>
      </c>
      <c r="C11" s="32">
        <f>B11+'[1]2. Full LCOE'!B13+'[1]2. Full LCOE'!B18</f>
        <v>0.16258101742869208</v>
      </c>
      <c r="D11" s="37">
        <f>(C11-'[1]1. Five-Step Model'!B14)/'[1]1. Five-Step Model'!B14</f>
        <v>0.47800924935174616</v>
      </c>
      <c r="E11" s="77"/>
      <c r="F11" s="77"/>
      <c r="G11" s="77"/>
      <c r="H11" s="38"/>
    </row>
    <row r="12" spans="1:8" ht="18" customHeight="1" x14ac:dyDescent="0.2">
      <c r="A12" s="5">
        <v>3.4</v>
      </c>
      <c r="B12" s="9">
        <f>A12/'[1]1. Five-Step Model'!B23</f>
        <v>0.20402040204020402</v>
      </c>
      <c r="C12" s="9">
        <f>B12+'[1]2. Full LCOE'!B13+'[1]2. Full LCOE'!B18</f>
        <v>0.24658941826877606</v>
      </c>
      <c r="D12" s="10">
        <f>(C12-'[1]1. Five-Step Model'!B14)/'[1]1. Five-Step Model'!B14</f>
        <v>1.2417219842616007</v>
      </c>
      <c r="E12" s="84" t="s">
        <v>88</v>
      </c>
      <c r="F12" s="84"/>
      <c r="G12" s="84"/>
      <c r="H12" s="39"/>
    </row>
    <row r="13" spans="1:8" ht="15" customHeight="1" x14ac:dyDescent="0.2">
      <c r="A13" s="34"/>
      <c r="B13" s="34"/>
      <c r="C13" s="34"/>
      <c r="D13" s="34"/>
      <c r="E13" s="34"/>
      <c r="F13" s="34"/>
      <c r="G13" s="34"/>
      <c r="H13" s="34"/>
    </row>
    <row r="14" spans="1:8" ht="15" customHeight="1" x14ac:dyDescent="0.2">
      <c r="A14" s="34"/>
      <c r="B14" s="34"/>
      <c r="C14" s="34"/>
      <c r="D14" s="34"/>
      <c r="E14" s="34"/>
      <c r="F14" s="34"/>
      <c r="G14" s="34"/>
      <c r="H14" s="34"/>
    </row>
    <row r="15" spans="1:8" ht="19.5" customHeight="1" x14ac:dyDescent="0.2">
      <c r="A15" s="75" t="s">
        <v>89</v>
      </c>
      <c r="B15" s="75"/>
      <c r="C15" s="75"/>
      <c r="D15" s="75"/>
      <c r="E15" s="75"/>
      <c r="F15" s="75"/>
      <c r="G15" s="75"/>
      <c r="H15" s="75"/>
    </row>
    <row r="16" spans="1:8" ht="45" customHeight="1" x14ac:dyDescent="0.2">
      <c r="A16" s="12" t="s">
        <v>90</v>
      </c>
      <c r="B16" s="12" t="s">
        <v>91</v>
      </c>
      <c r="C16" s="12" t="s">
        <v>92</v>
      </c>
      <c r="D16" s="12" t="s">
        <v>93</v>
      </c>
      <c r="E16" s="12" t="s">
        <v>94</v>
      </c>
      <c r="F16" s="12" t="s">
        <v>95</v>
      </c>
      <c r="G16" s="12" t="s">
        <v>83</v>
      </c>
      <c r="H16" s="12" t="s">
        <v>96</v>
      </c>
    </row>
    <row r="17" spans="1:8" ht="42" customHeight="1" x14ac:dyDescent="0.2">
      <c r="A17" s="43">
        <v>0.4</v>
      </c>
      <c r="B17" s="44">
        <f>'[1]1. Five-Step Model'!B10*A17</f>
        <v>13.332000000000001</v>
      </c>
      <c r="C17" s="45">
        <f>'[1]1. Five-Step Model'!B12/B17</f>
        <v>9.3009300930093006E-2</v>
      </c>
      <c r="D17" s="46">
        <f>('[1]1. Five-Step Model'!B6*1000000/A17/'[1]1. Five-Step Model'!B10)/1000</f>
        <v>132388.23882388239</v>
      </c>
      <c r="E17" s="45">
        <f>'[1]2. Full LCOE'!B14*D17*1000*'[1]2. Full LCOE'!B8/('[1]1. Five-Step Model'!B6*1000000)</f>
        <v>1.6284408131524757E-2</v>
      </c>
      <c r="F17" s="45">
        <f>'[1]2. Full LCOE'!B13</f>
        <v>2.9541489723352243E-2</v>
      </c>
      <c r="G17" s="45">
        <f>C17+E17+F17</f>
        <v>0.13883519878497</v>
      </c>
      <c r="H17" s="47" t="s">
        <v>97</v>
      </c>
    </row>
    <row r="18" spans="1:8" ht="42" customHeight="1" x14ac:dyDescent="0.2">
      <c r="A18" s="6">
        <v>0.5</v>
      </c>
      <c r="B18" s="48">
        <f>'[1]1. Five-Step Model'!B10*A18</f>
        <v>16.664999999999999</v>
      </c>
      <c r="C18" s="9">
        <f>'[1]1. Five-Step Model'!B12/B18</f>
        <v>7.4407440744074405E-2</v>
      </c>
      <c r="D18" s="49">
        <f>('[1]1. Five-Step Model'!B6*1000000/A18/'[1]1. Five-Step Model'!B10)/1000</f>
        <v>105910.59105910592</v>
      </c>
      <c r="E18" s="9">
        <f>'[1]2. Full LCOE'!B14*D18*1000*'[1]2. Full LCOE'!B8/('[1]1. Five-Step Model'!B6*1000000)</f>
        <v>1.3027526505219808E-2</v>
      </c>
      <c r="F18" s="9">
        <f>'[1]2. Full LCOE'!B13</f>
        <v>2.9541489723352243E-2</v>
      </c>
      <c r="G18" s="9">
        <f>C18+E18+F18</f>
        <v>0.11697645697264646</v>
      </c>
      <c r="H18" s="50" t="s">
        <v>98</v>
      </c>
    </row>
    <row r="19" spans="1:8" ht="42" customHeight="1" x14ac:dyDescent="0.2">
      <c r="A19" s="51">
        <v>0.6</v>
      </c>
      <c r="B19" s="52">
        <f>'[1]1. Five-Step Model'!B10*A19</f>
        <v>19.997999999999998</v>
      </c>
      <c r="C19" s="53">
        <f>'[1]1. Five-Step Model'!B12/B19</f>
        <v>6.2006200620062013E-2</v>
      </c>
      <c r="D19" s="54">
        <f>('[1]1. Five-Step Model'!B6*1000000/A19/'[1]1. Five-Step Model'!B10)/1000</f>
        <v>88258.825882588266</v>
      </c>
      <c r="E19" s="53">
        <f>'[1]2. Full LCOE'!B14*D19*1000*'[1]2. Full LCOE'!B8/('[1]1. Five-Step Model'!B6*1000000)</f>
        <v>1.0856272087683172E-2</v>
      </c>
      <c r="F19" s="53">
        <f>'[1]2. Full LCOE'!B13</f>
        <v>2.9541489723352243E-2</v>
      </c>
      <c r="G19" s="53">
        <f>C19+E19+F19</f>
        <v>0.10240396243109742</v>
      </c>
      <c r="H19" s="55" t="s">
        <v>99</v>
      </c>
    </row>
    <row r="20" spans="1:8" ht="15" customHeight="1" x14ac:dyDescent="0.2">
      <c r="A20" s="34"/>
      <c r="B20" s="34"/>
      <c r="C20" s="34"/>
      <c r="D20" s="34"/>
      <c r="E20" s="34"/>
      <c r="F20" s="34"/>
      <c r="G20" s="34"/>
      <c r="H20" s="34"/>
    </row>
    <row r="21" spans="1:8" ht="15" customHeight="1" x14ac:dyDescent="0.2">
      <c r="A21" s="34"/>
      <c r="B21" s="34"/>
      <c r="C21" s="34"/>
      <c r="D21" s="34"/>
      <c r="E21" s="34"/>
      <c r="F21" s="34"/>
      <c r="G21" s="34"/>
      <c r="H21" s="34"/>
    </row>
    <row r="22" spans="1:8" ht="19.5" customHeight="1" x14ac:dyDescent="0.2">
      <c r="A22" s="75" t="s">
        <v>100</v>
      </c>
      <c r="B22" s="75"/>
      <c r="C22" s="75"/>
      <c r="D22" s="75"/>
      <c r="E22" s="75"/>
      <c r="F22" s="75"/>
      <c r="G22" s="75"/>
      <c r="H22" s="75"/>
    </row>
    <row r="23" spans="1:8" ht="15" customHeight="1" x14ac:dyDescent="0.2">
      <c r="A23" s="80" t="s">
        <v>101</v>
      </c>
      <c r="B23" s="81"/>
      <c r="C23" s="56">
        <f>'[1]1. Five-Step Model'!B14*'[1]1. Five-Step Model'!B23</f>
        <v>1.8331499999999998</v>
      </c>
      <c r="D23" s="57" t="s">
        <v>21</v>
      </c>
      <c r="E23" s="58"/>
      <c r="F23" s="58"/>
      <c r="G23" s="58"/>
      <c r="H23" s="58"/>
    </row>
    <row r="24" spans="1:8" ht="15" customHeight="1" x14ac:dyDescent="0.2">
      <c r="A24" s="82" t="s">
        <v>102</v>
      </c>
      <c r="B24" s="83"/>
      <c r="C24" s="59">
        <f>(C23-'[1]1. Five-Step Model'!B12)/'[1]1. Five-Step Model'!B12</f>
        <v>0.47834677419354826</v>
      </c>
      <c r="D24" s="57" t="s">
        <v>5</v>
      </c>
      <c r="E24" s="58"/>
      <c r="F24" s="58"/>
      <c r="G24" s="58"/>
      <c r="H24" s="58"/>
    </row>
    <row r="25" spans="1:8" ht="15" customHeight="1" x14ac:dyDescent="0.2">
      <c r="A25" s="80" t="s">
        <v>103</v>
      </c>
      <c r="B25" s="81"/>
      <c r="C25" s="56">
        <f>('[1]1. Five-Step Model'!B14-'[1]2. Full LCOE'!B13-'[1]2. Full LCOE'!B18)*'[1]1. Five-Step Model'!B23</f>
        <v>1.1237373445508467</v>
      </c>
      <c r="D25" s="57" t="s">
        <v>21</v>
      </c>
      <c r="E25" s="58"/>
      <c r="F25" s="58"/>
      <c r="G25" s="58"/>
      <c r="H25" s="58"/>
    </row>
    <row r="26" spans="1:8" ht="15" customHeight="1" x14ac:dyDescent="0.2">
      <c r="A26" s="34"/>
      <c r="B26" s="34"/>
      <c r="C26" s="34"/>
      <c r="E26" s="34"/>
      <c r="F26" s="34"/>
      <c r="G26" s="34"/>
      <c r="H26" s="34"/>
    </row>
    <row r="27" spans="1:8" ht="15" customHeight="1" x14ac:dyDescent="0.2">
      <c r="A27" s="34"/>
      <c r="B27" s="34"/>
      <c r="C27" s="34"/>
      <c r="D27" s="34"/>
      <c r="E27" s="34"/>
      <c r="F27" s="34"/>
      <c r="G27" s="34"/>
      <c r="H27" s="34"/>
    </row>
    <row r="28" spans="1:8" ht="15" customHeight="1" x14ac:dyDescent="0.2">
      <c r="A28" s="34"/>
      <c r="B28" s="34"/>
      <c r="C28" s="34"/>
      <c r="D28" s="34"/>
      <c r="E28" s="34"/>
      <c r="F28" s="34"/>
      <c r="G28" s="34"/>
      <c r="H28" s="34"/>
    </row>
    <row r="29" spans="1:8" ht="15" customHeight="1" x14ac:dyDescent="0.2">
      <c r="A29" s="34"/>
      <c r="B29" s="34"/>
      <c r="C29" s="34"/>
      <c r="D29" s="34"/>
      <c r="E29" s="34"/>
      <c r="F29" s="34"/>
      <c r="G29" s="34"/>
      <c r="H29" s="34"/>
    </row>
    <row r="30" spans="1:8" ht="15" customHeight="1" x14ac:dyDescent="0.2">
      <c r="A30" s="34"/>
      <c r="B30" s="34"/>
      <c r="C30" s="34"/>
      <c r="D30" s="34"/>
      <c r="E30" s="34"/>
      <c r="F30" s="34"/>
      <c r="G30" s="34"/>
      <c r="H30" s="34"/>
    </row>
    <row r="31" spans="1:8" ht="15" customHeight="1" x14ac:dyDescent="0.2">
      <c r="A31" s="34"/>
      <c r="B31" s="34"/>
      <c r="C31" s="34"/>
      <c r="D31" s="34"/>
      <c r="E31" s="34"/>
      <c r="F31" s="34"/>
      <c r="G31" s="34"/>
      <c r="H31" s="34"/>
    </row>
  </sheetData>
  <mergeCells count="16">
    <mergeCell ref="A22:H22"/>
    <mergeCell ref="A23:B23"/>
    <mergeCell ref="A24:B24"/>
    <mergeCell ref="A25:B25"/>
    <mergeCell ref="E8:G8"/>
    <mergeCell ref="E9:G9"/>
    <mergeCell ref="E10:G10"/>
    <mergeCell ref="E11:G11"/>
    <mergeCell ref="E12:G12"/>
    <mergeCell ref="A15:H15"/>
    <mergeCell ref="E7:G7"/>
    <mergeCell ref="A1:H1"/>
    <mergeCell ref="A2:H2"/>
    <mergeCell ref="A3:H3"/>
    <mergeCell ref="A5:H5"/>
    <mergeCell ref="E6:G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8E44-E25A-40AA-95F3-0439A98BD82F}">
  <dimension ref="A1:C10"/>
  <sheetViews>
    <sheetView showGridLines="0" zoomScale="85" zoomScaleNormal="85" workbookViewId="0">
      <pane ySplit="4" topLeftCell="A5" activePane="bottomLeft" state="frozen"/>
      <selection pane="bottomLeft" activeCell="G11" sqref="G11"/>
    </sheetView>
  </sheetViews>
  <sheetFormatPr baseColWidth="10" defaultColWidth="8.6640625" defaultRowHeight="15" x14ac:dyDescent="0.2"/>
  <cols>
    <col min="1" max="1" width="52.1640625" style="1" customWidth="1"/>
    <col min="2" max="2" width="20" style="1" customWidth="1"/>
    <col min="3" max="3" width="16" style="1" customWidth="1"/>
    <col min="4" max="16384" width="8.6640625" style="1"/>
  </cols>
  <sheetData>
    <row r="1" spans="1:3" ht="27.75" customHeight="1" x14ac:dyDescent="0.2">
      <c r="A1" s="73" t="s">
        <v>104</v>
      </c>
      <c r="B1" s="73"/>
      <c r="C1" s="73"/>
    </row>
    <row r="2" spans="1:3" ht="27.5" customHeight="1" x14ac:dyDescent="0.2">
      <c r="A2" s="86" t="s">
        <v>105</v>
      </c>
      <c r="B2" s="78"/>
      <c r="C2" s="78"/>
    </row>
    <row r="4" spans="1:3" ht="21" customHeight="1" x14ac:dyDescent="0.2">
      <c r="A4" s="2" t="s">
        <v>106</v>
      </c>
      <c r="B4" s="2" t="s">
        <v>1</v>
      </c>
      <c r="C4" s="2" t="s">
        <v>2</v>
      </c>
    </row>
    <row r="5" spans="1:3" ht="21" customHeight="1" x14ac:dyDescent="0.2">
      <c r="A5" s="15" t="s">
        <v>107</v>
      </c>
      <c r="B5" s="28">
        <f>'[1]1. Five-Step Model'!B6</f>
        <v>1765</v>
      </c>
      <c r="C5" s="15" t="s">
        <v>11</v>
      </c>
    </row>
    <row r="6" spans="1:3" ht="21" customHeight="1" x14ac:dyDescent="0.2">
      <c r="A6" s="18" t="s">
        <v>74</v>
      </c>
      <c r="B6" s="33">
        <f>'[1]1. Five-Step Model'!B14</f>
        <v>0.11</v>
      </c>
      <c r="C6" s="18" t="s">
        <v>24</v>
      </c>
    </row>
    <row r="7" spans="1:3" ht="21" customHeight="1" x14ac:dyDescent="0.2">
      <c r="A7" s="15" t="s">
        <v>108</v>
      </c>
      <c r="B7" s="32">
        <f>'[1]1. Five-Step Model'!B24</f>
        <v>7.4407440744074405E-2</v>
      </c>
      <c r="C7" s="15" t="s">
        <v>24</v>
      </c>
    </row>
    <row r="8" spans="1:3" ht="21" customHeight="1" x14ac:dyDescent="0.2">
      <c r="A8" s="18" t="s">
        <v>109</v>
      </c>
      <c r="B8" s="21">
        <f>B6-B7</f>
        <v>3.5592559255925596E-2</v>
      </c>
      <c r="C8" s="18" t="s">
        <v>24</v>
      </c>
    </row>
    <row r="9" spans="1:3" ht="21" customHeight="1" x14ac:dyDescent="0.2">
      <c r="A9" s="60" t="s">
        <v>110</v>
      </c>
      <c r="B9" s="61">
        <f>B8*B5*1000000</f>
        <v>62820867.086708672</v>
      </c>
      <c r="C9" s="62" t="s">
        <v>42</v>
      </c>
    </row>
    <row r="10" spans="1:3" ht="21" customHeight="1" x14ac:dyDescent="0.2">
      <c r="A10" s="8" t="s">
        <v>43</v>
      </c>
      <c r="B10" s="11">
        <f>B9*25</f>
        <v>1570521677.1677167</v>
      </c>
      <c r="C10" s="3" t="s">
        <v>44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18d4b79e7e30ffb061354ebd9b6fb1ea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4fb9824bbe181eb93ec28b43918b8331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AB738F-1AA1-488F-943E-9BECDC6B25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8C935-29D8-43A2-A8F9-2199BAC06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7d1f72-31b2-4db8-9eba-6a53a0e1fea9"/>
    <ds:schemaRef ds:uri="a34d2c86-9072-4ad0-aac0-6de0c221a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D09CD-91A1-4B8A-88E8-E880CA566A0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f67d1f72-31b2-4db8-9eba-6a53a0e1fea9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34d2c86-9072-4ad0-aac0-6de0c221a9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Five-Step Model</vt:lpstr>
      <vt:lpstr>2. Full LCOE</vt:lpstr>
      <vt:lpstr>3. Sensitivity Analysis</vt:lpstr>
      <vt:lpstr>4. Financial 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Phonthana Sipaseuth</dc:creator>
  <cp:lastModifiedBy>Alan Brent</cp:lastModifiedBy>
  <dcterms:created xsi:type="dcterms:W3CDTF">2026-03-04T02:54:27Z</dcterms:created>
  <dcterms:modified xsi:type="dcterms:W3CDTF">2026-08-31T01:45:00Z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  <property fmtid="{D5CDD505-2E9C-101B-9397-08002B2CF9AE}" pid="3" name="MediaServiceImageTags">
    <vt:lpwstr/>
  </property>
</Properties>
</file>