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w.sharepoint.com/sites/ECS_SustainableEnergySystems/Shared Documents/Publications/ASES/2026/Monasterio/"/>
    </mc:Choice>
  </mc:AlternateContent>
  <xr:revisionPtr revIDLastSave="0" documentId="13_ncr:1_{C6BC772D-0CF9-4C3F-B8E1-0BD0B1CFA755}" xr6:coauthVersionLast="47" xr6:coauthVersionMax="47" xr10:uidLastSave="{00000000-0000-0000-0000-000000000000}"/>
  <bookViews>
    <workbookView xWindow="0" yWindow="660" windowWidth="23260" windowHeight="12460" tabRatio="952" xr2:uid="{6C0F9589-A755-E14C-93CA-5A468AE40DDE}"/>
  </bookViews>
  <sheets>
    <sheet name="Parameters" sheetId="6" r:id="rId1"/>
    <sheet name="BPE Fixed WMO " sheetId="1" r:id="rId2"/>
    <sheet name="BPE Track WMO " sheetId="9" r:id="rId3"/>
    <sheet name="MST Fixed WMO " sheetId="12" r:id="rId4"/>
    <sheet name="MST Track WMO " sheetId="15" r:id="rId5"/>
    <sheet name="HWA Fixed WMO " sheetId="18" r:id="rId6"/>
    <sheet name="HWA Track WMO " sheetId="21" r:id="rId7"/>
    <sheet name="BPE LCOE Fixed WMO" sheetId="2" r:id="rId8"/>
    <sheet name="BPE LCOE Track WMO" sheetId="10" r:id="rId9"/>
    <sheet name="MST LCOE Fixed WMO" sheetId="13" r:id="rId10"/>
    <sheet name="MST LCOE Track WMO" sheetId="16" r:id="rId11"/>
    <sheet name="HWA LCOE Fixed WMO" sheetId="19" r:id="rId12"/>
    <sheet name="HWA LCOE Track WMO" sheetId="22" r:id="rId13"/>
    <sheet name="BPE Fixed PPA" sheetId="8" r:id="rId14"/>
    <sheet name="BPE Track PPA" sheetId="11" r:id="rId15"/>
    <sheet name="MST Fixed PPA" sheetId="14" r:id="rId16"/>
    <sheet name="MST Track PPA" sheetId="17" r:id="rId17"/>
    <sheet name="HWA Fixed PPA" sheetId="20" r:id="rId18"/>
    <sheet name="HWA Track PPA" sheetId="23" r:id="rId19"/>
  </sheets>
  <externalReferences>
    <externalReference r:id="rId20"/>
    <externalReference r:id="rId21"/>
    <externalReference r:id="rId22"/>
    <externalReference r:id="rId23"/>
    <externalReference r:id="rId2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23" l="1"/>
  <c r="C39" i="23" s="1"/>
  <c r="E32" i="23"/>
  <c r="F32" i="23" s="1"/>
  <c r="G32" i="23" s="1"/>
  <c r="H32" i="23" s="1"/>
  <c r="I32" i="23" s="1"/>
  <c r="J32" i="23" s="1"/>
  <c r="K32" i="23" s="1"/>
  <c r="L32" i="23" s="1"/>
  <c r="M32" i="23" s="1"/>
  <c r="N32" i="23" s="1"/>
  <c r="O32" i="23" s="1"/>
  <c r="P32" i="23" s="1"/>
  <c r="Q32" i="23" s="1"/>
  <c r="R32" i="23" s="1"/>
  <c r="S32" i="23" s="1"/>
  <c r="T32" i="23" s="1"/>
  <c r="U32" i="23" s="1"/>
  <c r="V32" i="23" s="1"/>
  <c r="W32" i="23" s="1"/>
  <c r="X32" i="23" s="1"/>
  <c r="Y32" i="23" s="1"/>
  <c r="Z32" i="23" s="1"/>
  <c r="AA32" i="23" s="1"/>
  <c r="AB32" i="23" s="1"/>
  <c r="AC32" i="23" s="1"/>
  <c r="AD32" i="23" s="1"/>
  <c r="AE32" i="23" s="1"/>
  <c r="AF32" i="23" s="1"/>
  <c r="AG32" i="23" s="1"/>
  <c r="D32" i="23"/>
  <c r="D29" i="23"/>
  <c r="E29" i="23" s="1"/>
  <c r="F24" i="23"/>
  <c r="D23" i="23"/>
  <c r="E23" i="23" s="1"/>
  <c r="F23" i="23" s="1"/>
  <c r="G23" i="23" s="1"/>
  <c r="C14" i="23"/>
  <c r="D26" i="23" s="1"/>
  <c r="C9" i="23"/>
  <c r="C6" i="23"/>
  <c r="D34" i="23" s="1"/>
  <c r="I5" i="23"/>
  <c r="H5" i="23"/>
  <c r="K4" i="23"/>
  <c r="J4" i="23"/>
  <c r="I4" i="23"/>
  <c r="C3" i="23" s="1"/>
  <c r="C5" i="23" s="1"/>
  <c r="H4" i="23"/>
  <c r="D2" i="22"/>
  <c r="E1" i="22"/>
  <c r="F1" i="22" s="1"/>
  <c r="B1" i="22"/>
  <c r="B2" i="22" s="1"/>
  <c r="D32" i="21"/>
  <c r="E32" i="21" s="1"/>
  <c r="F32" i="21" s="1"/>
  <c r="G32" i="21" s="1"/>
  <c r="H32" i="21" s="1"/>
  <c r="I32" i="21" s="1"/>
  <c r="J32" i="21" s="1"/>
  <c r="K32" i="21" s="1"/>
  <c r="L32" i="21" s="1"/>
  <c r="M32" i="21" s="1"/>
  <c r="N32" i="21" s="1"/>
  <c r="O32" i="21" s="1"/>
  <c r="P32" i="21" s="1"/>
  <c r="Q32" i="21" s="1"/>
  <c r="R32" i="21" s="1"/>
  <c r="S32" i="21" s="1"/>
  <c r="T32" i="21" s="1"/>
  <c r="U32" i="21" s="1"/>
  <c r="V32" i="21" s="1"/>
  <c r="W32" i="21" s="1"/>
  <c r="X32" i="21" s="1"/>
  <c r="Y32" i="21" s="1"/>
  <c r="Z32" i="21" s="1"/>
  <c r="AA32" i="21" s="1"/>
  <c r="AB32" i="21" s="1"/>
  <c r="AC32" i="21" s="1"/>
  <c r="AD32" i="21" s="1"/>
  <c r="AE32" i="21" s="1"/>
  <c r="AF32" i="21" s="1"/>
  <c r="AG32" i="21" s="1"/>
  <c r="D27" i="21"/>
  <c r="D26" i="21"/>
  <c r="E26" i="21" s="1"/>
  <c r="D23" i="21"/>
  <c r="E23" i="21" s="1"/>
  <c r="C19" i="21"/>
  <c r="D29" i="21" s="1"/>
  <c r="C14" i="21"/>
  <c r="C9" i="21"/>
  <c r="I5" i="21"/>
  <c r="H5" i="21"/>
  <c r="K4" i="21"/>
  <c r="C6" i="21" s="1"/>
  <c r="D34" i="21" s="1"/>
  <c r="J4" i="21"/>
  <c r="I4" i="21"/>
  <c r="H4" i="21"/>
  <c r="C3" i="21"/>
  <c r="C5" i="21" s="1"/>
  <c r="C37" i="21" s="1"/>
  <c r="C39" i="21" s="1"/>
  <c r="D27" i="23" l="1"/>
  <c r="D33" i="23" s="1"/>
  <c r="D35" i="23" s="1"/>
  <c r="E26" i="23"/>
  <c r="G24" i="23"/>
  <c r="H23" i="23"/>
  <c r="E34" i="23"/>
  <c r="G34" i="23"/>
  <c r="F34" i="23"/>
  <c r="F29" i="23"/>
  <c r="E24" i="23"/>
  <c r="G1" i="22"/>
  <c r="F2" i="22"/>
  <c r="E2" i="22"/>
  <c r="E29" i="21"/>
  <c r="D33" i="21"/>
  <c r="D35" i="21" s="1"/>
  <c r="D39" i="21" s="1"/>
  <c r="E24" i="21"/>
  <c r="E34" i="21" s="1"/>
  <c r="F23" i="21"/>
  <c r="F26" i="21"/>
  <c r="E27" i="21"/>
  <c r="I23" i="23" l="1"/>
  <c r="H24" i="23"/>
  <c r="H34" i="23" s="1"/>
  <c r="E27" i="23"/>
  <c r="E33" i="23" s="1"/>
  <c r="E35" i="23" s="1"/>
  <c r="F26" i="23"/>
  <c r="G29" i="23"/>
  <c r="D39" i="23"/>
  <c r="D43" i="23"/>
  <c r="G2" i="22"/>
  <c r="H1" i="22"/>
  <c r="G26" i="21"/>
  <c r="F27" i="21"/>
  <c r="F29" i="21"/>
  <c r="E33" i="21"/>
  <c r="E35" i="21" s="1"/>
  <c r="E39" i="21" s="1"/>
  <c r="G23" i="21"/>
  <c r="F24" i="21"/>
  <c r="F34" i="21" s="1"/>
  <c r="H29" i="23" l="1"/>
  <c r="G26" i="23"/>
  <c r="F27" i="23"/>
  <c r="F33" i="23" s="1"/>
  <c r="F35" i="23" s="1"/>
  <c r="E39" i="23"/>
  <c r="E43" i="23"/>
  <c r="I24" i="23"/>
  <c r="I34" i="23" s="1"/>
  <c r="J23" i="23"/>
  <c r="H2" i="22"/>
  <c r="I1" i="22"/>
  <c r="G24" i="21"/>
  <c r="G34" i="21" s="1"/>
  <c r="H23" i="21"/>
  <c r="G29" i="21"/>
  <c r="F33" i="21"/>
  <c r="F35" i="21" s="1"/>
  <c r="F39" i="21" s="1"/>
  <c r="H26" i="21"/>
  <c r="G27" i="21"/>
  <c r="J24" i="23" l="1"/>
  <c r="J34" i="23" s="1"/>
  <c r="K23" i="23"/>
  <c r="F39" i="23"/>
  <c r="F43" i="23"/>
  <c r="G27" i="23"/>
  <c r="G33" i="23" s="1"/>
  <c r="G35" i="23" s="1"/>
  <c r="H26" i="23"/>
  <c r="I29" i="23"/>
  <c r="I2" i="22"/>
  <c r="J1" i="22"/>
  <c r="H27" i="21"/>
  <c r="I26" i="21"/>
  <c r="I23" i="21"/>
  <c r="H24" i="21"/>
  <c r="H34" i="21" s="1"/>
  <c r="H29" i="21"/>
  <c r="G33" i="21"/>
  <c r="G35" i="21" s="1"/>
  <c r="G39" i="21" s="1"/>
  <c r="J29" i="23" l="1"/>
  <c r="I26" i="23"/>
  <c r="H27" i="23"/>
  <c r="H33" i="23" s="1"/>
  <c r="H35" i="23" s="1"/>
  <c r="G39" i="23"/>
  <c r="G43" i="23"/>
  <c r="L23" i="23"/>
  <c r="K24" i="23"/>
  <c r="K34" i="23" s="1"/>
  <c r="J2" i="22"/>
  <c r="K1" i="22"/>
  <c r="I29" i="21"/>
  <c r="H33" i="21"/>
  <c r="H35" i="21" s="1"/>
  <c r="H39" i="21" s="1"/>
  <c r="J23" i="21"/>
  <c r="I24" i="21"/>
  <c r="I34" i="21" s="1"/>
  <c r="I27" i="21"/>
  <c r="J26" i="21"/>
  <c r="K29" i="23" l="1"/>
  <c r="M23" i="23"/>
  <c r="L24" i="23"/>
  <c r="L34" i="23" s="1"/>
  <c r="H43" i="23"/>
  <c r="H39" i="23"/>
  <c r="J26" i="23"/>
  <c r="I27" i="23"/>
  <c r="I33" i="23" s="1"/>
  <c r="I35" i="23" s="1"/>
  <c r="K2" i="22"/>
  <c r="L1" i="22"/>
  <c r="J29" i="21"/>
  <c r="I33" i="21"/>
  <c r="I35" i="21" s="1"/>
  <c r="I39" i="21" s="1"/>
  <c r="J27" i="21"/>
  <c r="K26" i="21"/>
  <c r="J24" i="21"/>
  <c r="J34" i="21" s="1"/>
  <c r="K23" i="21"/>
  <c r="N23" i="23" l="1"/>
  <c r="M24" i="23"/>
  <c r="M34" i="23" s="1"/>
  <c r="I43" i="23"/>
  <c r="I39" i="23"/>
  <c r="L29" i="23"/>
  <c r="K26" i="23"/>
  <c r="J27" i="23"/>
  <c r="J33" i="23" s="1"/>
  <c r="J35" i="23" s="1"/>
  <c r="M1" i="22"/>
  <c r="L2" i="22"/>
  <c r="L23" i="21"/>
  <c r="K24" i="21"/>
  <c r="K34" i="21" s="1"/>
  <c r="L26" i="21"/>
  <c r="K27" i="21"/>
  <c r="K29" i="21"/>
  <c r="J33" i="21"/>
  <c r="J35" i="21" s="1"/>
  <c r="J39" i="21" s="1"/>
  <c r="L26" i="23" l="1"/>
  <c r="K27" i="23"/>
  <c r="K33" i="23" s="1"/>
  <c r="K35" i="23" s="1"/>
  <c r="M29" i="23"/>
  <c r="J43" i="23"/>
  <c r="J39" i="23"/>
  <c r="N24" i="23"/>
  <c r="N34" i="23" s="1"/>
  <c r="O23" i="23"/>
  <c r="N1" i="22"/>
  <c r="M2" i="22"/>
  <c r="M26" i="21"/>
  <c r="L27" i="21"/>
  <c r="K33" i="21"/>
  <c r="K35" i="21" s="1"/>
  <c r="K39" i="21" s="1"/>
  <c r="L29" i="21"/>
  <c r="M23" i="21"/>
  <c r="L24" i="21"/>
  <c r="L34" i="21" s="1"/>
  <c r="O24" i="23" l="1"/>
  <c r="O34" i="23" s="1"/>
  <c r="P23" i="23"/>
  <c r="N29" i="23"/>
  <c r="K43" i="23"/>
  <c r="K39" i="23"/>
  <c r="M26" i="23"/>
  <c r="L27" i="23"/>
  <c r="L33" i="23" s="1"/>
  <c r="L35" i="23" s="1"/>
  <c r="O1" i="22"/>
  <c r="N2" i="22"/>
  <c r="N23" i="21"/>
  <c r="M24" i="21"/>
  <c r="M34" i="21" s="1"/>
  <c r="L33" i="21"/>
  <c r="L35" i="21" s="1"/>
  <c r="L39" i="21" s="1"/>
  <c r="M29" i="21"/>
  <c r="M27" i="21"/>
  <c r="N26" i="21"/>
  <c r="M27" i="23" l="1"/>
  <c r="M33" i="23" s="1"/>
  <c r="M35" i="23" s="1"/>
  <c r="N26" i="23"/>
  <c r="O29" i="23"/>
  <c r="L43" i="23"/>
  <c r="L39" i="23"/>
  <c r="P24" i="23"/>
  <c r="P34" i="23" s="1"/>
  <c r="Q23" i="23"/>
  <c r="P1" i="22"/>
  <c r="O2" i="22"/>
  <c r="O26" i="21"/>
  <c r="N27" i="21"/>
  <c r="M33" i="21"/>
  <c r="M35" i="21" s="1"/>
  <c r="M39" i="21" s="1"/>
  <c r="N29" i="21"/>
  <c r="O23" i="21"/>
  <c r="N24" i="21"/>
  <c r="N34" i="21" s="1"/>
  <c r="P29" i="23" l="1"/>
  <c r="N27" i="23"/>
  <c r="N33" i="23" s="1"/>
  <c r="N35" i="23" s="1"/>
  <c r="O26" i="23"/>
  <c r="Q24" i="23"/>
  <c r="Q34" i="23" s="1"/>
  <c r="R23" i="23"/>
  <c r="M43" i="23"/>
  <c r="M39" i="23"/>
  <c r="Q1" i="22"/>
  <c r="P2" i="22"/>
  <c r="P23" i="21"/>
  <c r="O24" i="21"/>
  <c r="O34" i="21" s="1"/>
  <c r="N33" i="21"/>
  <c r="N35" i="21" s="1"/>
  <c r="N39" i="21" s="1"/>
  <c r="O29" i="21"/>
  <c r="O27" i="21"/>
  <c r="P26" i="21"/>
  <c r="S23" i="23" l="1"/>
  <c r="R24" i="23"/>
  <c r="R34" i="23" s="1"/>
  <c r="P26" i="23"/>
  <c r="O27" i="23"/>
  <c r="O33" i="23" s="1"/>
  <c r="O35" i="23" s="1"/>
  <c r="N43" i="23"/>
  <c r="N39" i="23"/>
  <c r="Q29" i="23"/>
  <c r="R1" i="22"/>
  <c r="Q2" i="22"/>
  <c r="P27" i="21"/>
  <c r="Q26" i="21"/>
  <c r="O33" i="21"/>
  <c r="O35" i="21" s="1"/>
  <c r="O39" i="21" s="1"/>
  <c r="P29" i="21"/>
  <c r="Q23" i="21"/>
  <c r="P24" i="21"/>
  <c r="P34" i="21" s="1"/>
  <c r="R29" i="23" l="1"/>
  <c r="Q26" i="23"/>
  <c r="P27" i="23"/>
  <c r="P33" i="23" s="1"/>
  <c r="P35" i="23" s="1"/>
  <c r="O43" i="23"/>
  <c r="O39" i="23"/>
  <c r="T23" i="23"/>
  <c r="S24" i="23"/>
  <c r="S34" i="23" s="1"/>
  <c r="R2" i="22"/>
  <c r="S1" i="22"/>
  <c r="R23" i="21"/>
  <c r="Q24" i="21"/>
  <c r="Q34" i="21" s="1"/>
  <c r="Q29" i="21"/>
  <c r="P33" i="21"/>
  <c r="P35" i="21" s="1"/>
  <c r="P39" i="21" s="1"/>
  <c r="R26" i="21"/>
  <c r="Q27" i="21"/>
  <c r="R26" i="23" l="1"/>
  <c r="Q27" i="23"/>
  <c r="Q33" i="23" s="1"/>
  <c r="Q35" i="23" s="1"/>
  <c r="U23" i="23"/>
  <c r="T24" i="23"/>
  <c r="T34" i="23" s="1"/>
  <c r="P39" i="23"/>
  <c r="P43" i="23"/>
  <c r="S29" i="23"/>
  <c r="S2" i="22"/>
  <c r="T1" i="22"/>
  <c r="S26" i="21"/>
  <c r="R27" i="21"/>
  <c r="Q33" i="21"/>
  <c r="Q35" i="21" s="1"/>
  <c r="Q39" i="21" s="1"/>
  <c r="R29" i="21"/>
  <c r="R24" i="21"/>
  <c r="R34" i="21" s="1"/>
  <c r="S23" i="21"/>
  <c r="T29" i="23" l="1"/>
  <c r="V23" i="23"/>
  <c r="U24" i="23"/>
  <c r="U34" i="23" s="1"/>
  <c r="Q43" i="23"/>
  <c r="Q39" i="23"/>
  <c r="S26" i="23"/>
  <c r="R27" i="23"/>
  <c r="R33" i="23" s="1"/>
  <c r="R35" i="23" s="1"/>
  <c r="T2" i="22"/>
  <c r="U1" i="22"/>
  <c r="T23" i="21"/>
  <c r="S24" i="21"/>
  <c r="S34" i="21" s="1"/>
  <c r="R33" i="21"/>
  <c r="R35" i="21" s="1"/>
  <c r="R39" i="21" s="1"/>
  <c r="S29" i="21"/>
  <c r="T26" i="21"/>
  <c r="S27" i="21"/>
  <c r="R39" i="23" l="1"/>
  <c r="R43" i="23"/>
  <c r="S27" i="23"/>
  <c r="S33" i="23" s="1"/>
  <c r="S35" i="23" s="1"/>
  <c r="T26" i="23"/>
  <c r="W23" i="23"/>
  <c r="V24" i="23"/>
  <c r="V34" i="23" s="1"/>
  <c r="U29" i="23"/>
  <c r="U2" i="22"/>
  <c r="V1" i="22"/>
  <c r="T27" i="21"/>
  <c r="U26" i="21"/>
  <c r="S33" i="21"/>
  <c r="S35" i="21" s="1"/>
  <c r="S39" i="21" s="1"/>
  <c r="T29" i="21"/>
  <c r="T24" i="21"/>
  <c r="T34" i="21" s="1"/>
  <c r="U23" i="21"/>
  <c r="X23" i="23" l="1"/>
  <c r="W24" i="23"/>
  <c r="W34" i="23" s="1"/>
  <c r="V29" i="23"/>
  <c r="S39" i="23"/>
  <c r="S43" i="23"/>
  <c r="T27" i="23"/>
  <c r="T33" i="23" s="1"/>
  <c r="T35" i="23" s="1"/>
  <c r="U26" i="23"/>
  <c r="W1" i="22"/>
  <c r="V2" i="22"/>
  <c r="V26" i="21"/>
  <c r="U27" i="21"/>
  <c r="U24" i="21"/>
  <c r="U34" i="21" s="1"/>
  <c r="V23" i="21"/>
  <c r="T33" i="21"/>
  <c r="T35" i="21" s="1"/>
  <c r="T39" i="21" s="1"/>
  <c r="U29" i="21"/>
  <c r="X24" i="23" l="1"/>
  <c r="X34" i="23" s="1"/>
  <c r="Y23" i="23"/>
  <c r="U27" i="23"/>
  <c r="U33" i="23" s="1"/>
  <c r="U35" i="23" s="1"/>
  <c r="V26" i="23"/>
  <c r="T43" i="23"/>
  <c r="T39" i="23"/>
  <c r="W29" i="23"/>
  <c r="X1" i="22"/>
  <c r="W2" i="22"/>
  <c r="U33" i="21"/>
  <c r="U35" i="21" s="1"/>
  <c r="U39" i="21" s="1"/>
  <c r="V29" i="21"/>
  <c r="W23" i="21"/>
  <c r="V24" i="21"/>
  <c r="V34" i="21" s="1"/>
  <c r="W26" i="21"/>
  <c r="V27" i="21"/>
  <c r="X29" i="23" l="1"/>
  <c r="W26" i="23"/>
  <c r="V27" i="23"/>
  <c r="V33" i="23" s="1"/>
  <c r="V35" i="23" s="1"/>
  <c r="U39" i="23"/>
  <c r="U43" i="23"/>
  <c r="Z23" i="23"/>
  <c r="Y24" i="23"/>
  <c r="Y34" i="23" s="1"/>
  <c r="Y1" i="22"/>
  <c r="X2" i="22"/>
  <c r="W27" i="21"/>
  <c r="X26" i="21"/>
  <c r="X23" i="21"/>
  <c r="W24" i="21"/>
  <c r="W34" i="21" s="1"/>
  <c r="W29" i="21"/>
  <c r="V33" i="21"/>
  <c r="V35" i="21" s="1"/>
  <c r="V39" i="21" s="1"/>
  <c r="AA23" i="23" l="1"/>
  <c r="Z24" i="23"/>
  <c r="Z34" i="23" s="1"/>
  <c r="V43" i="23"/>
  <c r="V39" i="23"/>
  <c r="X26" i="23"/>
  <c r="W27" i="23"/>
  <c r="W33" i="23" s="1"/>
  <c r="W35" i="23" s="1"/>
  <c r="Y29" i="23"/>
  <c r="Z1" i="22"/>
  <c r="Y2" i="22"/>
  <c r="X29" i="21"/>
  <c r="W33" i="21"/>
  <c r="W35" i="21" s="1"/>
  <c r="W39" i="21" s="1"/>
  <c r="Y23" i="21"/>
  <c r="X24" i="21"/>
  <c r="X34" i="21" s="1"/>
  <c r="X27" i="21"/>
  <c r="Y26" i="21"/>
  <c r="W43" i="23" l="1"/>
  <c r="W39" i="23"/>
  <c r="Y26" i="23"/>
  <c r="X27" i="23"/>
  <c r="X33" i="23" s="1"/>
  <c r="X35" i="23" s="1"/>
  <c r="Z29" i="23"/>
  <c r="AB23" i="23"/>
  <c r="AA24" i="23"/>
  <c r="AA34" i="23" s="1"/>
  <c r="AA1" i="22"/>
  <c r="Z2" i="22"/>
  <c r="Y27" i="21"/>
  <c r="Z26" i="21"/>
  <c r="Z23" i="21"/>
  <c r="Y24" i="21"/>
  <c r="Y34" i="21" s="1"/>
  <c r="Y29" i="21"/>
  <c r="X33" i="21"/>
  <c r="X35" i="21" s="1"/>
  <c r="X39" i="21" s="1"/>
  <c r="AC23" i="23" l="1"/>
  <c r="AB24" i="23"/>
  <c r="AB34" i="23" s="1"/>
  <c r="AA29" i="23"/>
  <c r="X43" i="23"/>
  <c r="X39" i="23"/>
  <c r="Z26" i="23"/>
  <c r="Y27" i="23"/>
  <c r="Y33" i="23" s="1"/>
  <c r="Y35" i="23" s="1"/>
  <c r="AB1" i="22"/>
  <c r="AA2" i="22"/>
  <c r="Z24" i="21"/>
  <c r="Z34" i="21" s="1"/>
  <c r="AA23" i="21"/>
  <c r="AA26" i="21"/>
  <c r="Z27" i="21"/>
  <c r="Z29" i="21"/>
  <c r="Y33" i="21"/>
  <c r="Y35" i="21" s="1"/>
  <c r="Y39" i="21" s="1"/>
  <c r="Y43" i="23" l="1"/>
  <c r="Y39" i="23"/>
  <c r="AA26" i="23"/>
  <c r="Z27" i="23"/>
  <c r="Z33" i="23" s="1"/>
  <c r="Z35" i="23" s="1"/>
  <c r="AB29" i="23"/>
  <c r="AD23" i="23"/>
  <c r="AC24" i="23"/>
  <c r="AC34" i="23" s="1"/>
  <c r="AC1" i="22"/>
  <c r="AB2" i="22"/>
  <c r="AA29" i="21"/>
  <c r="Z33" i="21"/>
  <c r="Z35" i="21" s="1"/>
  <c r="Z39" i="21" s="1"/>
  <c r="AB26" i="21"/>
  <c r="AA27" i="21"/>
  <c r="AA24" i="21"/>
  <c r="AA34" i="21" s="1"/>
  <c r="AB23" i="21"/>
  <c r="AD24" i="23" l="1"/>
  <c r="AD34" i="23" s="1"/>
  <c r="AE23" i="23"/>
  <c r="AC29" i="23"/>
  <c r="AB26" i="23"/>
  <c r="AA27" i="23"/>
  <c r="AA33" i="23" s="1"/>
  <c r="AA35" i="23" s="1"/>
  <c r="Z43" i="23"/>
  <c r="Z39" i="23"/>
  <c r="AD1" i="22"/>
  <c r="AC2" i="22"/>
  <c r="AC23" i="21"/>
  <c r="AB24" i="21"/>
  <c r="AB34" i="21" s="1"/>
  <c r="AC26" i="21"/>
  <c r="AB27" i="21"/>
  <c r="AA33" i="21"/>
  <c r="AA35" i="21" s="1"/>
  <c r="AA39" i="21" s="1"/>
  <c r="AB29" i="21"/>
  <c r="AA39" i="23" l="1"/>
  <c r="AA43" i="23"/>
  <c r="AC26" i="23"/>
  <c r="AB27" i="23"/>
  <c r="AB33" i="23" s="1"/>
  <c r="AB35" i="23" s="1"/>
  <c r="AD29" i="23"/>
  <c r="AE24" i="23"/>
  <c r="AE34" i="23" s="1"/>
  <c r="AF23" i="23"/>
  <c r="AD2" i="22"/>
  <c r="AE1" i="22"/>
  <c r="AB33" i="21"/>
  <c r="AB35" i="21" s="1"/>
  <c r="AB39" i="21" s="1"/>
  <c r="AC29" i="21"/>
  <c r="AC27" i="21"/>
  <c r="AD26" i="21"/>
  <c r="AD23" i="21"/>
  <c r="AC24" i="21"/>
  <c r="AC34" i="21" s="1"/>
  <c r="AF24" i="23" l="1"/>
  <c r="AF34" i="23" s="1"/>
  <c r="AG23" i="23"/>
  <c r="AG24" i="23" s="1"/>
  <c r="AG34" i="23" s="1"/>
  <c r="AE29" i="23"/>
  <c r="AB43" i="23"/>
  <c r="AB39" i="23"/>
  <c r="AD26" i="23"/>
  <c r="AC27" i="23"/>
  <c r="AC33" i="23" s="1"/>
  <c r="AC35" i="23" s="1"/>
  <c r="AF1" i="22"/>
  <c r="AE2" i="22"/>
  <c r="AE23" i="21"/>
  <c r="AD24" i="21"/>
  <c r="AD34" i="21" s="1"/>
  <c r="AD27" i="21"/>
  <c r="AE26" i="21"/>
  <c r="AD29" i="21"/>
  <c r="AC33" i="21"/>
  <c r="AC35" i="21" s="1"/>
  <c r="AC39" i="21" s="1"/>
  <c r="AC43" i="23" l="1"/>
  <c r="AC39" i="23"/>
  <c r="AE26" i="23"/>
  <c r="AD27" i="23"/>
  <c r="AD33" i="23" s="1"/>
  <c r="AD35" i="23" s="1"/>
  <c r="AF29" i="23"/>
  <c r="AG1" i="22"/>
  <c r="AG2" i="22" s="1"/>
  <c r="AF2" i="22"/>
  <c r="AD33" i="21"/>
  <c r="AD35" i="21" s="1"/>
  <c r="AD39" i="21" s="1"/>
  <c r="AE29" i="21"/>
  <c r="AE27" i="21"/>
  <c r="AF26" i="21"/>
  <c r="AF23" i="21"/>
  <c r="AE24" i="21"/>
  <c r="AE34" i="21" s="1"/>
  <c r="AG29" i="23" l="1"/>
  <c r="AD43" i="23"/>
  <c r="AD39" i="23"/>
  <c r="AF26" i="23"/>
  <c r="AE27" i="23"/>
  <c r="AE33" i="23" s="1"/>
  <c r="AE35" i="23" s="1"/>
  <c r="B3" i="22"/>
  <c r="B4" i="22" s="1"/>
  <c r="AG23" i="21"/>
  <c r="AG24" i="21" s="1"/>
  <c r="AG34" i="21" s="1"/>
  <c r="AF24" i="21"/>
  <c r="AF34" i="21" s="1"/>
  <c r="AF27" i="21"/>
  <c r="AG26" i="21"/>
  <c r="AG27" i="21" s="1"/>
  <c r="AE33" i="21"/>
  <c r="AE35" i="21" s="1"/>
  <c r="AE39" i="21" s="1"/>
  <c r="AF29" i="21"/>
  <c r="AE43" i="23" l="1"/>
  <c r="AE39" i="23"/>
  <c r="AG26" i="23"/>
  <c r="AG27" i="23" s="1"/>
  <c r="AF27" i="23"/>
  <c r="AF33" i="23" s="1"/>
  <c r="AF35" i="23" s="1"/>
  <c r="AG33" i="23"/>
  <c r="AG35" i="23" s="1"/>
  <c r="AF33" i="21"/>
  <c r="AF35" i="21" s="1"/>
  <c r="AF39" i="21" s="1"/>
  <c r="AG29" i="21"/>
  <c r="AG33" i="21" s="1"/>
  <c r="AG35" i="21" s="1"/>
  <c r="AG39" i="21" s="1"/>
  <c r="AG43" i="23" l="1"/>
  <c r="AG39" i="23"/>
  <c r="AF43" i="23"/>
  <c r="AF39" i="23"/>
  <c r="C40" i="21"/>
  <c r="C41" i="21"/>
  <c r="C40" i="23" l="1"/>
  <c r="C41" i="23"/>
  <c r="C44" i="23"/>
  <c r="C55" i="23" l="1"/>
  <c r="D45" i="23"/>
  <c r="C50" i="23"/>
  <c r="C56" i="23" l="1"/>
  <c r="C51" i="23"/>
  <c r="D46" i="23"/>
  <c r="C57" i="23"/>
  <c r="D47" i="23" l="1"/>
  <c r="D48" i="23" s="1"/>
  <c r="E45" i="23" s="1"/>
  <c r="E46" i="23" l="1"/>
  <c r="E47" i="23"/>
  <c r="E48" i="23" s="1"/>
  <c r="F45" i="23" s="1"/>
  <c r="D51" i="23"/>
  <c r="F46" i="23" l="1"/>
  <c r="E51" i="23"/>
  <c r="F47" i="23" l="1"/>
  <c r="F48" i="23" s="1"/>
  <c r="G45" i="23" s="1"/>
  <c r="G46" i="23" l="1"/>
  <c r="G47" i="23"/>
  <c r="G48" i="23" s="1"/>
  <c r="H45" i="23" s="1"/>
  <c r="F51" i="23"/>
  <c r="H46" i="23" l="1"/>
  <c r="H47" i="23"/>
  <c r="H48" i="23"/>
  <c r="I45" i="23" s="1"/>
  <c r="G51" i="23"/>
  <c r="I46" i="23" l="1"/>
  <c r="I47" i="23" s="1"/>
  <c r="I48" i="23" s="1"/>
  <c r="J45" i="23" s="1"/>
  <c r="H51" i="23"/>
  <c r="J46" i="23" l="1"/>
  <c r="J47" i="23"/>
  <c r="J48" i="23"/>
  <c r="K45" i="23" s="1"/>
  <c r="I51" i="23"/>
  <c r="K46" i="23" l="1"/>
  <c r="J51" i="23"/>
  <c r="K47" i="23" l="1"/>
  <c r="K48" i="23" s="1"/>
  <c r="L45" i="23" s="1"/>
  <c r="L46" i="23" l="1"/>
  <c r="K51" i="23"/>
  <c r="L47" i="23" l="1"/>
  <c r="L48" i="23" s="1"/>
  <c r="M45" i="23" s="1"/>
  <c r="M46" i="23" l="1"/>
  <c r="L51" i="23"/>
  <c r="M47" i="23" l="1"/>
  <c r="M48" i="23" s="1"/>
  <c r="N45" i="23" s="1"/>
  <c r="N48" i="23" l="1"/>
  <c r="O45" i="23" s="1"/>
  <c r="N46" i="23"/>
  <c r="N47" i="23"/>
  <c r="M51" i="23"/>
  <c r="O46" i="23" l="1"/>
  <c r="O47" i="23" s="1"/>
  <c r="O48" i="23" s="1"/>
  <c r="P45" i="23" s="1"/>
  <c r="N51" i="23"/>
  <c r="P46" i="23" l="1"/>
  <c r="O51" i="23"/>
  <c r="P47" i="23" l="1"/>
  <c r="P48" i="23" s="1"/>
  <c r="Q45" i="23" s="1"/>
  <c r="P51" i="23" l="1"/>
  <c r="Q46" i="23"/>
  <c r="Q47" i="23"/>
  <c r="Q48" i="23"/>
  <c r="R45" i="23" s="1"/>
  <c r="R46" i="23" l="1"/>
  <c r="R47" i="23"/>
  <c r="R48" i="23"/>
  <c r="S45" i="23" s="1"/>
  <c r="Q51" i="23"/>
  <c r="S46" i="23" l="1"/>
  <c r="R51" i="23"/>
  <c r="S47" i="23" l="1"/>
  <c r="S48" i="23" s="1"/>
  <c r="T45" i="23" s="1"/>
  <c r="T47" i="23" l="1"/>
  <c r="T48" i="23" s="1"/>
  <c r="U45" i="23" s="1"/>
  <c r="T46" i="23"/>
  <c r="S51" i="23"/>
  <c r="U46" i="23" l="1"/>
  <c r="U47" i="23"/>
  <c r="U48" i="23" s="1"/>
  <c r="V45" i="23" s="1"/>
  <c r="T51" i="23"/>
  <c r="V46" i="23" l="1"/>
  <c r="U51" i="23"/>
  <c r="V47" i="23" l="1"/>
  <c r="V48" i="23" s="1"/>
  <c r="W45" i="23" s="1"/>
  <c r="W46" i="23" l="1"/>
  <c r="V51" i="23"/>
  <c r="W51" i="23" l="1"/>
  <c r="W47" i="23"/>
  <c r="W48" i="23" s="1"/>
  <c r="X45" i="23" s="1"/>
  <c r="X46" i="23" l="1"/>
  <c r="X47" i="23"/>
  <c r="X48" i="23"/>
  <c r="Y45" i="23" s="1"/>
  <c r="Y46" i="23" l="1"/>
  <c r="Y47" i="23"/>
  <c r="Y48" i="23"/>
  <c r="Z45" i="23" s="1"/>
  <c r="X51" i="23"/>
  <c r="Z46" i="23" l="1"/>
  <c r="Y51" i="23"/>
  <c r="Z47" i="23" l="1"/>
  <c r="Z48" i="23" s="1"/>
  <c r="AA45" i="23" s="1"/>
  <c r="AA46" i="23" l="1"/>
  <c r="AA47" i="23"/>
  <c r="AA48" i="23"/>
  <c r="AB45" i="23" s="1"/>
  <c r="Z51" i="23"/>
  <c r="AB46" i="23" l="1"/>
  <c r="AB47" i="23"/>
  <c r="AB48" i="23" s="1"/>
  <c r="AC45" i="23" s="1"/>
  <c r="AA51" i="23"/>
  <c r="AC46" i="23" l="1"/>
  <c r="AB51" i="23"/>
  <c r="AC47" i="23" l="1"/>
  <c r="AC48" i="23" s="1"/>
  <c r="AD45" i="23" s="1"/>
  <c r="AD46" i="23" l="1"/>
  <c r="AD47" i="23" s="1"/>
  <c r="AD48" i="23" s="1"/>
  <c r="AE45" i="23" s="1"/>
  <c r="AC51" i="23"/>
  <c r="AE46" i="23" l="1"/>
  <c r="AD51" i="23"/>
  <c r="AE47" i="23" l="1"/>
  <c r="AE48" i="23" s="1"/>
  <c r="AF45" i="23" s="1"/>
  <c r="AF46" i="23" l="1"/>
  <c r="AF47" i="23"/>
  <c r="AF48" i="23"/>
  <c r="AG45" i="23" s="1"/>
  <c r="AE51" i="23"/>
  <c r="AG46" i="23" l="1"/>
  <c r="AG47" i="23"/>
  <c r="AG48" i="23"/>
  <c r="AF51" i="23"/>
  <c r="AG51" i="23" l="1"/>
  <c r="C52" i="23" l="1"/>
  <c r="C53" i="23"/>
  <c r="D32" i="20" l="1"/>
  <c r="E32" i="20" s="1"/>
  <c r="F32" i="20" s="1"/>
  <c r="G32" i="20" s="1"/>
  <c r="H32" i="20" s="1"/>
  <c r="I32" i="20" s="1"/>
  <c r="J32" i="20" s="1"/>
  <c r="K32" i="20" s="1"/>
  <c r="L32" i="20" s="1"/>
  <c r="M32" i="20" s="1"/>
  <c r="N32" i="20" s="1"/>
  <c r="O32" i="20" s="1"/>
  <c r="P32" i="20" s="1"/>
  <c r="Q32" i="20" s="1"/>
  <c r="R32" i="20" s="1"/>
  <c r="S32" i="20" s="1"/>
  <c r="T32" i="20" s="1"/>
  <c r="U32" i="20" s="1"/>
  <c r="V32" i="20" s="1"/>
  <c r="W32" i="20" s="1"/>
  <c r="X32" i="20" s="1"/>
  <c r="Y32" i="20" s="1"/>
  <c r="Z32" i="20" s="1"/>
  <c r="AA32" i="20" s="1"/>
  <c r="AB32" i="20" s="1"/>
  <c r="AC32" i="20" s="1"/>
  <c r="AD32" i="20" s="1"/>
  <c r="AE32" i="20" s="1"/>
  <c r="AF32" i="20" s="1"/>
  <c r="AG32" i="20" s="1"/>
  <c r="D29" i="20"/>
  <c r="E29" i="20" s="1"/>
  <c r="D26" i="20"/>
  <c r="D27" i="20" s="1"/>
  <c r="D33" i="20" s="1"/>
  <c r="D23" i="20"/>
  <c r="E23" i="20" s="1"/>
  <c r="F23" i="20" s="1"/>
  <c r="C14" i="20"/>
  <c r="C9" i="20"/>
  <c r="C6" i="20"/>
  <c r="D34" i="20" s="1"/>
  <c r="I5" i="20"/>
  <c r="H5" i="20"/>
  <c r="K4" i="20"/>
  <c r="J4" i="20"/>
  <c r="I4" i="20"/>
  <c r="H4" i="20"/>
  <c r="C3" i="20"/>
  <c r="C5" i="20" s="1"/>
  <c r="C37" i="20" s="1"/>
  <c r="D2" i="19"/>
  <c r="E1" i="19"/>
  <c r="F1" i="19" s="1"/>
  <c r="B1" i="19"/>
  <c r="B2" i="19" s="1"/>
  <c r="E32" i="18"/>
  <c r="F32" i="18" s="1"/>
  <c r="G32" i="18" s="1"/>
  <c r="H32" i="18" s="1"/>
  <c r="I32" i="18" s="1"/>
  <c r="J32" i="18" s="1"/>
  <c r="K32" i="18" s="1"/>
  <c r="L32" i="18" s="1"/>
  <c r="M32" i="18" s="1"/>
  <c r="N32" i="18" s="1"/>
  <c r="O32" i="18" s="1"/>
  <c r="P32" i="18" s="1"/>
  <c r="Q32" i="18" s="1"/>
  <c r="R32" i="18" s="1"/>
  <c r="S32" i="18" s="1"/>
  <c r="T32" i="18" s="1"/>
  <c r="U32" i="18" s="1"/>
  <c r="V32" i="18" s="1"/>
  <c r="W32" i="18" s="1"/>
  <c r="X32" i="18" s="1"/>
  <c r="Y32" i="18" s="1"/>
  <c r="Z32" i="18" s="1"/>
  <c r="AA32" i="18" s="1"/>
  <c r="AB32" i="18" s="1"/>
  <c r="AC32" i="18" s="1"/>
  <c r="AD32" i="18" s="1"/>
  <c r="AE32" i="18" s="1"/>
  <c r="AF32" i="18" s="1"/>
  <c r="AG32" i="18" s="1"/>
  <c r="D32" i="18"/>
  <c r="D23" i="18"/>
  <c r="E23" i="18" s="1"/>
  <c r="C19" i="18"/>
  <c r="D29" i="18" s="1"/>
  <c r="C14" i="18"/>
  <c r="D26" i="18" s="1"/>
  <c r="C9" i="18"/>
  <c r="I5" i="18"/>
  <c r="H5" i="18"/>
  <c r="K4" i="18"/>
  <c r="J4" i="18"/>
  <c r="C6" i="18" s="1"/>
  <c r="D34" i="18" s="1"/>
  <c r="I4" i="18"/>
  <c r="H4" i="18"/>
  <c r="C3" i="18"/>
  <c r="C5" i="18" s="1"/>
  <c r="C37" i="18" s="1"/>
  <c r="C39" i="18" s="1"/>
  <c r="C39" i="20" l="1"/>
  <c r="D35" i="20"/>
  <c r="F29" i="20"/>
  <c r="F34" i="20"/>
  <c r="E34" i="20"/>
  <c r="E24" i="20"/>
  <c r="G23" i="20"/>
  <c r="F24" i="20"/>
  <c r="E26" i="20"/>
  <c r="F2" i="19"/>
  <c r="G1" i="19"/>
  <c r="E2" i="19"/>
  <c r="E34" i="18"/>
  <c r="E26" i="18"/>
  <c r="D27" i="18"/>
  <c r="E29" i="18"/>
  <c r="D33" i="18"/>
  <c r="D35" i="18" s="1"/>
  <c r="D39" i="18" s="1"/>
  <c r="E24" i="18"/>
  <c r="F23" i="18"/>
  <c r="E27" i="20" l="1"/>
  <c r="E33" i="20" s="1"/>
  <c r="E35" i="20" s="1"/>
  <c r="F26" i="20"/>
  <c r="G29" i="20"/>
  <c r="H23" i="20"/>
  <c r="G24" i="20"/>
  <c r="G34" i="20" s="1"/>
  <c r="D43" i="20"/>
  <c r="D39" i="20"/>
  <c r="G2" i="19"/>
  <c r="H1" i="19"/>
  <c r="F26" i="18"/>
  <c r="E27" i="18"/>
  <c r="F24" i="18"/>
  <c r="F34" i="18" s="1"/>
  <c r="G23" i="18"/>
  <c r="F29" i="18"/>
  <c r="E33" i="18"/>
  <c r="E35" i="18" s="1"/>
  <c r="E39" i="18" s="1"/>
  <c r="I23" i="20" l="1"/>
  <c r="H24" i="20"/>
  <c r="H34" i="20" s="1"/>
  <c r="H29" i="20"/>
  <c r="F27" i="20"/>
  <c r="F33" i="20" s="1"/>
  <c r="F35" i="20" s="1"/>
  <c r="G26" i="20"/>
  <c r="E39" i="20"/>
  <c r="E43" i="20"/>
  <c r="I1" i="19"/>
  <c r="H2" i="19"/>
  <c r="G26" i="18"/>
  <c r="F27" i="18"/>
  <c r="G29" i="18"/>
  <c r="F33" i="18"/>
  <c r="F35" i="18" s="1"/>
  <c r="F39" i="18" s="1"/>
  <c r="G24" i="18"/>
  <c r="G34" i="18" s="1"/>
  <c r="H23" i="18"/>
  <c r="F39" i="20" l="1"/>
  <c r="F43" i="20"/>
  <c r="H26" i="20"/>
  <c r="G27" i="20"/>
  <c r="G33" i="20" s="1"/>
  <c r="G35" i="20" s="1"/>
  <c r="I29" i="20"/>
  <c r="I24" i="20"/>
  <c r="I34" i="20" s="1"/>
  <c r="J23" i="20"/>
  <c r="J1" i="19"/>
  <c r="I2" i="19"/>
  <c r="H29" i="18"/>
  <c r="I23" i="18"/>
  <c r="H24" i="18"/>
  <c r="H34" i="18" s="1"/>
  <c r="G27" i="18"/>
  <c r="G33" i="18" s="1"/>
  <c r="G35" i="18" s="1"/>
  <c r="G39" i="18" s="1"/>
  <c r="H26" i="18"/>
  <c r="J29" i="20" l="1"/>
  <c r="G43" i="20"/>
  <c r="G39" i="20"/>
  <c r="I26" i="20"/>
  <c r="H27" i="20"/>
  <c r="H33" i="20" s="1"/>
  <c r="H35" i="20" s="1"/>
  <c r="J24" i="20"/>
  <c r="J34" i="20" s="1"/>
  <c r="K23" i="20"/>
  <c r="K1" i="19"/>
  <c r="J2" i="19"/>
  <c r="I26" i="18"/>
  <c r="H27" i="18"/>
  <c r="J23" i="18"/>
  <c r="I24" i="18"/>
  <c r="I34" i="18" s="1"/>
  <c r="I29" i="18"/>
  <c r="H33" i="18"/>
  <c r="H35" i="18" s="1"/>
  <c r="H39" i="18" s="1"/>
  <c r="H39" i="20" l="1"/>
  <c r="H43" i="20"/>
  <c r="L23" i="20"/>
  <c r="K24" i="20"/>
  <c r="K34" i="20" s="1"/>
  <c r="J26" i="20"/>
  <c r="I27" i="20"/>
  <c r="I33" i="20" s="1"/>
  <c r="I35" i="20" s="1"/>
  <c r="K29" i="20"/>
  <c r="K2" i="19"/>
  <c r="L1" i="19"/>
  <c r="J29" i="18"/>
  <c r="J24" i="18"/>
  <c r="J34" i="18" s="1"/>
  <c r="K23" i="18"/>
  <c r="I27" i="18"/>
  <c r="I33" i="18" s="1"/>
  <c r="I35" i="18" s="1"/>
  <c r="I39" i="18" s="1"/>
  <c r="J26" i="18"/>
  <c r="L29" i="20" l="1"/>
  <c r="I43" i="20"/>
  <c r="I39" i="20"/>
  <c r="K26" i="20"/>
  <c r="J27" i="20"/>
  <c r="J33" i="20" s="1"/>
  <c r="J35" i="20" s="1"/>
  <c r="M23" i="20"/>
  <c r="L24" i="20"/>
  <c r="L34" i="20" s="1"/>
  <c r="L2" i="19"/>
  <c r="M1" i="19"/>
  <c r="K26" i="18"/>
  <c r="J27" i="18"/>
  <c r="L23" i="18"/>
  <c r="K24" i="18"/>
  <c r="K34" i="18" s="1"/>
  <c r="K29" i="18"/>
  <c r="J33" i="18"/>
  <c r="J35" i="18" s="1"/>
  <c r="J39" i="18" s="1"/>
  <c r="N23" i="20" l="1"/>
  <c r="M24" i="20"/>
  <c r="M34" i="20" s="1"/>
  <c r="L26" i="20"/>
  <c r="K27" i="20"/>
  <c r="K33" i="20" s="1"/>
  <c r="K35" i="20" s="1"/>
  <c r="M29" i="20"/>
  <c r="J39" i="20"/>
  <c r="J43" i="20"/>
  <c r="M2" i="19"/>
  <c r="N1" i="19"/>
  <c r="L29" i="18"/>
  <c r="M23" i="18"/>
  <c r="L24" i="18"/>
  <c r="L34" i="18" s="1"/>
  <c r="L26" i="18"/>
  <c r="K27" i="18"/>
  <c r="K33" i="18" s="1"/>
  <c r="K35" i="18" s="1"/>
  <c r="K39" i="18" s="1"/>
  <c r="K43" i="20" l="1"/>
  <c r="K39" i="20"/>
  <c r="N29" i="20"/>
  <c r="M26" i="20"/>
  <c r="L27" i="20"/>
  <c r="L33" i="20" s="1"/>
  <c r="L35" i="20" s="1"/>
  <c r="N24" i="20"/>
  <c r="N34" i="20" s="1"/>
  <c r="O23" i="20"/>
  <c r="N2" i="19"/>
  <c r="O1" i="19"/>
  <c r="M26" i="18"/>
  <c r="L27" i="18"/>
  <c r="M24" i="18"/>
  <c r="M34" i="18" s="1"/>
  <c r="N23" i="18"/>
  <c r="L33" i="18"/>
  <c r="L35" i="18" s="1"/>
  <c r="L39" i="18" s="1"/>
  <c r="M29" i="18"/>
  <c r="O24" i="20" l="1"/>
  <c r="O34" i="20" s="1"/>
  <c r="P23" i="20"/>
  <c r="M27" i="20"/>
  <c r="M33" i="20" s="1"/>
  <c r="M35" i="20" s="1"/>
  <c r="N26" i="20"/>
  <c r="L43" i="20"/>
  <c r="L39" i="20"/>
  <c r="O29" i="20"/>
  <c r="P1" i="19"/>
  <c r="O2" i="19"/>
  <c r="N29" i="18"/>
  <c r="O23" i="18"/>
  <c r="N24" i="18"/>
  <c r="N34" i="18" s="1"/>
  <c r="M27" i="18"/>
  <c r="M33" i="18" s="1"/>
  <c r="M35" i="18" s="1"/>
  <c r="M39" i="18" s="1"/>
  <c r="N26" i="18"/>
  <c r="N27" i="20" l="1"/>
  <c r="N33" i="20" s="1"/>
  <c r="N35" i="20" s="1"/>
  <c r="O26" i="20"/>
  <c r="P29" i="20"/>
  <c r="P24" i="20"/>
  <c r="P34" i="20" s="1"/>
  <c r="Q23" i="20"/>
  <c r="M43" i="20"/>
  <c r="M39" i="20"/>
  <c r="Q1" i="19"/>
  <c r="P2" i="19"/>
  <c r="O26" i="18"/>
  <c r="N27" i="18"/>
  <c r="N33" i="18"/>
  <c r="N35" i="18" s="1"/>
  <c r="N39" i="18" s="1"/>
  <c r="O29" i="18"/>
  <c r="P23" i="18"/>
  <c r="O24" i="18"/>
  <c r="O34" i="18" s="1"/>
  <c r="Q24" i="20" l="1"/>
  <c r="Q34" i="20" s="1"/>
  <c r="R23" i="20"/>
  <c r="Q29" i="20"/>
  <c r="P26" i="20"/>
  <c r="O27" i="20"/>
  <c r="O33" i="20" s="1"/>
  <c r="O35" i="20" s="1"/>
  <c r="N43" i="20"/>
  <c r="N39" i="20"/>
  <c r="R1" i="19"/>
  <c r="Q2" i="19"/>
  <c r="Q23" i="18"/>
  <c r="P24" i="18"/>
  <c r="P34" i="18" s="1"/>
  <c r="P29" i="18"/>
  <c r="P26" i="18"/>
  <c r="O27" i="18"/>
  <c r="O33" i="18" s="1"/>
  <c r="O35" i="18" s="1"/>
  <c r="O39" i="18" s="1"/>
  <c r="O43" i="20" l="1"/>
  <c r="O39" i="20"/>
  <c r="S23" i="20"/>
  <c r="R24" i="20"/>
  <c r="R34" i="20" s="1"/>
  <c r="P27" i="20"/>
  <c r="P33" i="20" s="1"/>
  <c r="P35" i="20" s="1"/>
  <c r="Q26" i="20"/>
  <c r="R29" i="20"/>
  <c r="R2" i="19"/>
  <c r="S1" i="19"/>
  <c r="Q26" i="18"/>
  <c r="P27" i="18"/>
  <c r="P33" i="18"/>
  <c r="P35" i="18" s="1"/>
  <c r="P39" i="18" s="1"/>
  <c r="Q29" i="18"/>
  <c r="R23" i="18"/>
  <c r="Q24" i="18"/>
  <c r="Q34" i="18" s="1"/>
  <c r="R26" i="20" l="1"/>
  <c r="Q27" i="20"/>
  <c r="Q33" i="20" s="1"/>
  <c r="Q35" i="20" s="1"/>
  <c r="P43" i="20"/>
  <c r="P39" i="20"/>
  <c r="S29" i="20"/>
  <c r="S24" i="20"/>
  <c r="S34" i="20" s="1"/>
  <c r="T23" i="20"/>
  <c r="S2" i="19"/>
  <c r="T1" i="19"/>
  <c r="R24" i="18"/>
  <c r="R34" i="18" s="1"/>
  <c r="S23" i="18"/>
  <c r="R29" i="18"/>
  <c r="R26" i="18"/>
  <c r="Q27" i="18"/>
  <c r="Q33" i="18" s="1"/>
  <c r="Q35" i="18" s="1"/>
  <c r="Q39" i="18" s="1"/>
  <c r="U23" i="20" l="1"/>
  <c r="T24" i="20"/>
  <c r="T34" i="20" s="1"/>
  <c r="T29" i="20"/>
  <c r="Q39" i="20"/>
  <c r="Q43" i="20"/>
  <c r="S26" i="20"/>
  <c r="R27" i="20"/>
  <c r="R33" i="20" s="1"/>
  <c r="R35" i="20" s="1"/>
  <c r="T2" i="19"/>
  <c r="U1" i="19"/>
  <c r="R27" i="18"/>
  <c r="S26" i="18"/>
  <c r="S24" i="18"/>
  <c r="S34" i="18" s="1"/>
  <c r="T23" i="18"/>
  <c r="S29" i="18"/>
  <c r="R33" i="18"/>
  <c r="R35" i="18" s="1"/>
  <c r="R39" i="18" s="1"/>
  <c r="S27" i="20" l="1"/>
  <c r="S33" i="20" s="1"/>
  <c r="S35" i="20" s="1"/>
  <c r="T26" i="20"/>
  <c r="R43" i="20"/>
  <c r="R39" i="20"/>
  <c r="U29" i="20"/>
  <c r="V23" i="20"/>
  <c r="U24" i="20"/>
  <c r="U34" i="20" s="1"/>
  <c r="U2" i="19"/>
  <c r="V1" i="19"/>
  <c r="T24" i="18"/>
  <c r="T34" i="18" s="1"/>
  <c r="U23" i="18"/>
  <c r="T29" i="18"/>
  <c r="S27" i="18"/>
  <c r="S33" i="18" s="1"/>
  <c r="S35" i="18" s="1"/>
  <c r="S39" i="18" s="1"/>
  <c r="T26" i="18"/>
  <c r="W23" i="20" l="1"/>
  <c r="V24" i="20"/>
  <c r="V34" i="20" s="1"/>
  <c r="T27" i="20"/>
  <c r="T33" i="20" s="1"/>
  <c r="T35" i="20" s="1"/>
  <c r="U26" i="20"/>
  <c r="V29" i="20"/>
  <c r="S43" i="20"/>
  <c r="S39" i="20"/>
  <c r="W1" i="19"/>
  <c r="V2" i="19"/>
  <c r="U26" i="18"/>
  <c r="T27" i="18"/>
  <c r="T33" i="18" s="1"/>
  <c r="T35" i="18" s="1"/>
  <c r="T39" i="18" s="1"/>
  <c r="U29" i="18"/>
  <c r="U24" i="18"/>
  <c r="U34" i="18" s="1"/>
  <c r="V23" i="18"/>
  <c r="U27" i="20" l="1"/>
  <c r="U33" i="20" s="1"/>
  <c r="U35" i="20" s="1"/>
  <c r="V26" i="20"/>
  <c r="W29" i="20"/>
  <c r="T43" i="20"/>
  <c r="T39" i="20"/>
  <c r="X23" i="20"/>
  <c r="W24" i="20"/>
  <c r="W34" i="20" s="1"/>
  <c r="X1" i="19"/>
  <c r="W2" i="19"/>
  <c r="V24" i="18"/>
  <c r="V34" i="18" s="1"/>
  <c r="W23" i="18"/>
  <c r="V29" i="18"/>
  <c r="V26" i="18"/>
  <c r="U27" i="18"/>
  <c r="U33" i="18" s="1"/>
  <c r="U35" i="18" s="1"/>
  <c r="U39" i="18" s="1"/>
  <c r="W26" i="20" l="1"/>
  <c r="V27" i="20"/>
  <c r="V33" i="20" s="1"/>
  <c r="V35" i="20" s="1"/>
  <c r="Y23" i="20"/>
  <c r="X24" i="20"/>
  <c r="X34" i="20" s="1"/>
  <c r="X29" i="20"/>
  <c r="U39" i="20"/>
  <c r="U43" i="20"/>
  <c r="Y1" i="19"/>
  <c r="X2" i="19"/>
  <c r="W26" i="18"/>
  <c r="V27" i="18"/>
  <c r="W29" i="18"/>
  <c r="V33" i="18"/>
  <c r="V35" i="18" s="1"/>
  <c r="V39" i="18" s="1"/>
  <c r="W24" i="18"/>
  <c r="W34" i="18" s="1"/>
  <c r="X23" i="18"/>
  <c r="Y24" i="20" l="1"/>
  <c r="Y34" i="20" s="1"/>
  <c r="Z23" i="20"/>
  <c r="Y29" i="20"/>
  <c r="V43" i="20"/>
  <c r="V39" i="20"/>
  <c r="X26" i="20"/>
  <c r="W27" i="20"/>
  <c r="W33" i="20" s="1"/>
  <c r="W35" i="20" s="1"/>
  <c r="Y2" i="19"/>
  <c r="Z1" i="19"/>
  <c r="X24" i="18"/>
  <c r="X34" i="18" s="1"/>
  <c r="Y23" i="18"/>
  <c r="X29" i="18"/>
  <c r="X26" i="18"/>
  <c r="W27" i="18"/>
  <c r="W33" i="18" s="1"/>
  <c r="W35" i="18" s="1"/>
  <c r="W39" i="18" s="1"/>
  <c r="W43" i="20" l="1"/>
  <c r="W39" i="20"/>
  <c r="Y26" i="20"/>
  <c r="X27" i="20"/>
  <c r="X33" i="20" s="1"/>
  <c r="X35" i="20" s="1"/>
  <c r="Z29" i="20"/>
  <c r="AA23" i="20"/>
  <c r="Z24" i="20"/>
  <c r="Z34" i="20" s="1"/>
  <c r="AA1" i="19"/>
  <c r="Z2" i="19"/>
  <c r="Y29" i="18"/>
  <c r="Y24" i="18"/>
  <c r="Y34" i="18" s="1"/>
  <c r="Z23" i="18"/>
  <c r="X27" i="18"/>
  <c r="X33" i="18" s="1"/>
  <c r="X35" i="18" s="1"/>
  <c r="X39" i="18" s="1"/>
  <c r="Y26" i="18"/>
  <c r="AB23" i="20" l="1"/>
  <c r="AA24" i="20"/>
  <c r="AA34" i="20" s="1"/>
  <c r="AA29" i="20"/>
  <c r="X43" i="20"/>
  <c r="X39" i="20"/>
  <c r="Z26" i="20"/>
  <c r="Y27" i="20"/>
  <c r="Y33" i="20" s="1"/>
  <c r="Y35" i="20" s="1"/>
  <c r="AB1" i="19"/>
  <c r="AA2" i="19"/>
  <c r="AA23" i="18"/>
  <c r="Z24" i="18"/>
  <c r="Z34" i="18" s="1"/>
  <c r="Y27" i="18"/>
  <c r="Z26" i="18"/>
  <c r="Z29" i="18"/>
  <c r="Y33" i="18"/>
  <c r="Y35" i="18" s="1"/>
  <c r="Y39" i="18" s="1"/>
  <c r="AA26" i="20" l="1"/>
  <c r="Z27" i="20"/>
  <c r="Z33" i="20" s="1"/>
  <c r="Z35" i="20" s="1"/>
  <c r="AB29" i="20"/>
  <c r="Y43" i="20"/>
  <c r="Y39" i="20"/>
  <c r="AC23" i="20"/>
  <c r="AB24" i="20"/>
  <c r="AB34" i="20" s="1"/>
  <c r="AC1" i="19"/>
  <c r="AB2" i="19"/>
  <c r="AA29" i="18"/>
  <c r="AA26" i="18"/>
  <c r="Z27" i="18"/>
  <c r="Z33" i="18" s="1"/>
  <c r="Z35" i="18" s="1"/>
  <c r="Z39" i="18" s="1"/>
  <c r="AB23" i="18"/>
  <c r="AA24" i="18"/>
  <c r="AA34" i="18" s="1"/>
  <c r="AD23" i="20" l="1"/>
  <c r="AC24" i="20"/>
  <c r="AC34" i="20" s="1"/>
  <c r="Z43" i="20"/>
  <c r="Z39" i="20"/>
  <c r="AC29" i="20"/>
  <c r="AB26" i="20"/>
  <c r="AA27" i="20"/>
  <c r="AA33" i="20" s="1"/>
  <c r="AA35" i="20" s="1"/>
  <c r="AD1" i="19"/>
  <c r="AC2" i="19"/>
  <c r="AC23" i="18"/>
  <c r="AB24" i="18"/>
  <c r="AB34" i="18" s="1"/>
  <c r="AB26" i="18"/>
  <c r="AA27" i="18"/>
  <c r="AB29" i="18"/>
  <c r="AA33" i="18"/>
  <c r="AA35" i="18" s="1"/>
  <c r="AA39" i="18" s="1"/>
  <c r="AA43" i="20" l="1"/>
  <c r="AA39" i="20"/>
  <c r="AC26" i="20"/>
  <c r="AB27" i="20"/>
  <c r="AB33" i="20" s="1"/>
  <c r="AB35" i="20" s="1"/>
  <c r="AD29" i="20"/>
  <c r="AD24" i="20"/>
  <c r="AD34" i="20" s="1"/>
  <c r="AE23" i="20"/>
  <c r="AD2" i="19"/>
  <c r="AE1" i="19"/>
  <c r="AC29" i="18"/>
  <c r="AB27" i="18"/>
  <c r="AB33" i="18" s="1"/>
  <c r="AB35" i="18" s="1"/>
  <c r="AB39" i="18" s="1"/>
  <c r="AC26" i="18"/>
  <c r="AC24" i="18"/>
  <c r="AC34" i="18" s="1"/>
  <c r="AD23" i="18"/>
  <c r="AE24" i="20" l="1"/>
  <c r="AE34" i="20" s="1"/>
  <c r="AF23" i="20"/>
  <c r="AE29" i="20"/>
  <c r="AB43" i="20"/>
  <c r="AB39" i="20"/>
  <c r="AD26" i="20"/>
  <c r="AC27" i="20"/>
  <c r="AC33" i="20" s="1"/>
  <c r="AC35" i="20" s="1"/>
  <c r="AF1" i="19"/>
  <c r="AE2" i="19"/>
  <c r="AD24" i="18"/>
  <c r="AD34" i="18" s="1"/>
  <c r="AE23" i="18"/>
  <c r="AD26" i="18"/>
  <c r="AC27" i="18"/>
  <c r="AC33" i="18"/>
  <c r="AC35" i="18" s="1"/>
  <c r="AC39" i="18" s="1"/>
  <c r="AD29" i="18"/>
  <c r="AD27" i="20" l="1"/>
  <c r="AD33" i="20" s="1"/>
  <c r="AD35" i="20" s="1"/>
  <c r="AE26" i="20"/>
  <c r="AF24" i="20"/>
  <c r="AF34" i="20" s="1"/>
  <c r="AG23" i="20"/>
  <c r="AG24" i="20" s="1"/>
  <c r="AG34" i="20" s="1"/>
  <c r="AC43" i="20"/>
  <c r="AC39" i="20"/>
  <c r="AF29" i="20"/>
  <c r="AG1" i="19"/>
  <c r="AG2" i="19" s="1"/>
  <c r="AF2" i="19"/>
  <c r="AE29" i="18"/>
  <c r="AD27" i="18"/>
  <c r="AD33" i="18" s="1"/>
  <c r="AD35" i="18" s="1"/>
  <c r="AD39" i="18" s="1"/>
  <c r="AE26" i="18"/>
  <c r="AF23" i="18"/>
  <c r="AE24" i="18"/>
  <c r="AE34" i="18" s="1"/>
  <c r="AG29" i="20" l="1"/>
  <c r="AE27" i="20"/>
  <c r="AE33" i="20" s="1"/>
  <c r="AE35" i="20" s="1"/>
  <c r="AF26" i="20"/>
  <c r="AD43" i="20"/>
  <c r="AD39" i="20"/>
  <c r="B3" i="19"/>
  <c r="B4" i="19" s="1"/>
  <c r="AG23" i="18"/>
  <c r="AG24" i="18" s="1"/>
  <c r="AG34" i="18" s="1"/>
  <c r="AF24" i="18"/>
  <c r="AF34" i="18" s="1"/>
  <c r="AE27" i="18"/>
  <c r="AF26" i="18"/>
  <c r="AE33" i="18"/>
  <c r="AE35" i="18" s="1"/>
  <c r="AE39" i="18" s="1"/>
  <c r="AF29" i="18"/>
  <c r="AG26" i="20" l="1"/>
  <c r="AG27" i="20" s="1"/>
  <c r="AF27" i="20"/>
  <c r="AF33" i="20" s="1"/>
  <c r="AF35" i="20" s="1"/>
  <c r="AE43" i="20"/>
  <c r="AE39" i="20"/>
  <c r="AG33" i="20"/>
  <c r="AG35" i="20" s="1"/>
  <c r="AG29" i="18"/>
  <c r="AG26" i="18"/>
  <c r="AG27" i="18" s="1"/>
  <c r="AF27" i="18"/>
  <c r="AF33" i="18" s="1"/>
  <c r="AF35" i="18" s="1"/>
  <c r="AF39" i="18" s="1"/>
  <c r="AG39" i="20" l="1"/>
  <c r="AG43" i="20"/>
  <c r="C44" i="20" s="1"/>
  <c r="AF43" i="20"/>
  <c r="AF39" i="20"/>
  <c r="AG33" i="18"/>
  <c r="AG35" i="18" s="1"/>
  <c r="AG39" i="18" s="1"/>
  <c r="C55" i="20" l="1"/>
  <c r="D45" i="20"/>
  <c r="C50" i="20"/>
  <c r="C41" i="20"/>
  <c r="C40" i="20"/>
  <c r="C41" i="18"/>
  <c r="C40" i="18"/>
  <c r="C56" i="20" l="1"/>
  <c r="C51" i="20"/>
  <c r="D46" i="20"/>
  <c r="C57" i="20"/>
  <c r="D47" i="20" l="1"/>
  <c r="D48" i="20" s="1"/>
  <c r="E45" i="20" s="1"/>
  <c r="E46" i="20" l="1"/>
  <c r="D51" i="20"/>
  <c r="E47" i="20" l="1"/>
  <c r="E48" i="20" s="1"/>
  <c r="F45" i="20" s="1"/>
  <c r="F46" i="20" l="1"/>
  <c r="F47" i="20"/>
  <c r="F48" i="20" s="1"/>
  <c r="G45" i="20" s="1"/>
  <c r="E51" i="20"/>
  <c r="G46" i="20" l="1"/>
  <c r="G47" i="20"/>
  <c r="G48" i="20"/>
  <c r="H45" i="20" s="1"/>
  <c r="F51" i="20"/>
  <c r="H46" i="20" l="1"/>
  <c r="G51" i="20"/>
  <c r="H47" i="20" l="1"/>
  <c r="H48" i="20" s="1"/>
  <c r="I45" i="20" s="1"/>
  <c r="I46" i="20" l="1"/>
  <c r="I47" i="20"/>
  <c r="I48" i="20"/>
  <c r="J45" i="20" s="1"/>
  <c r="H51" i="20"/>
  <c r="J46" i="20" l="1"/>
  <c r="J47" i="20"/>
  <c r="J48" i="20" s="1"/>
  <c r="K45" i="20" s="1"/>
  <c r="I51" i="20"/>
  <c r="K46" i="20" l="1"/>
  <c r="K47" i="20"/>
  <c r="K48" i="20"/>
  <c r="L45" i="20" s="1"/>
  <c r="J51" i="20"/>
  <c r="L46" i="20" l="1"/>
  <c r="L47" i="20"/>
  <c r="L48" i="20"/>
  <c r="M45" i="20" s="1"/>
  <c r="K51" i="20"/>
  <c r="M46" i="20" l="1"/>
  <c r="M47" i="20"/>
  <c r="M48" i="20" s="1"/>
  <c r="N45" i="20" s="1"/>
  <c r="L51" i="20"/>
  <c r="N46" i="20" l="1"/>
  <c r="M51" i="20"/>
  <c r="N47" i="20" l="1"/>
  <c r="N48" i="20" s="1"/>
  <c r="O45" i="20" s="1"/>
  <c r="O46" i="20" l="1"/>
  <c r="O47" i="20"/>
  <c r="O48" i="20" s="1"/>
  <c r="P45" i="20" s="1"/>
  <c r="N51" i="20"/>
  <c r="P46" i="20" l="1"/>
  <c r="P47" i="20"/>
  <c r="P48" i="20" s="1"/>
  <c r="Q45" i="20" s="1"/>
  <c r="O51" i="20"/>
  <c r="Q46" i="20" l="1"/>
  <c r="Q47" i="20"/>
  <c r="Q48" i="20"/>
  <c r="R45" i="20" s="1"/>
  <c r="P51" i="20"/>
  <c r="R46" i="20" l="1"/>
  <c r="R47" i="20"/>
  <c r="R48" i="20"/>
  <c r="S45" i="20" s="1"/>
  <c r="Q51" i="20"/>
  <c r="S46" i="20" l="1"/>
  <c r="R51" i="20"/>
  <c r="S51" i="20" l="1"/>
  <c r="S47" i="20"/>
  <c r="S48" i="20" s="1"/>
  <c r="T45" i="20" s="1"/>
  <c r="T46" i="20" l="1"/>
  <c r="T47" i="20" l="1"/>
  <c r="T48" i="20" s="1"/>
  <c r="U45" i="20" s="1"/>
  <c r="U46" i="20" l="1"/>
  <c r="U47" i="20"/>
  <c r="U48" i="20" s="1"/>
  <c r="V45" i="20" s="1"/>
  <c r="T51" i="20"/>
  <c r="V46" i="20" l="1"/>
  <c r="V47" i="20"/>
  <c r="V48" i="20" s="1"/>
  <c r="W45" i="20" s="1"/>
  <c r="U51" i="20"/>
  <c r="W46" i="20" l="1"/>
  <c r="W47" i="20"/>
  <c r="W48" i="20"/>
  <c r="X45" i="20" s="1"/>
  <c r="V51" i="20"/>
  <c r="X46" i="20" l="1"/>
  <c r="W51" i="20"/>
  <c r="X47" i="20" l="1"/>
  <c r="X48" i="20" s="1"/>
  <c r="Y45" i="20" s="1"/>
  <c r="Y46" i="20" l="1"/>
  <c r="Y47" i="20"/>
  <c r="Y48" i="20"/>
  <c r="Z45" i="20" s="1"/>
  <c r="X51" i="20"/>
  <c r="Z46" i="20" l="1"/>
  <c r="Z47" i="20"/>
  <c r="Z48" i="20" s="1"/>
  <c r="AA45" i="20" s="1"/>
  <c r="Y51" i="20"/>
  <c r="AA46" i="20" l="1"/>
  <c r="AA47" i="20"/>
  <c r="AA48" i="20"/>
  <c r="AB45" i="20" s="1"/>
  <c r="Z51" i="20"/>
  <c r="AB46" i="20" l="1"/>
  <c r="AA51" i="20"/>
  <c r="AB47" i="20" l="1"/>
  <c r="AB48" i="20" s="1"/>
  <c r="AC45" i="20" s="1"/>
  <c r="AC46" i="20" l="1"/>
  <c r="AB51" i="20"/>
  <c r="AC47" i="20" l="1"/>
  <c r="AC48" i="20" s="1"/>
  <c r="AD45" i="20" s="1"/>
  <c r="AD46" i="20" l="1"/>
  <c r="AC51" i="20"/>
  <c r="AD47" i="20" l="1"/>
  <c r="AD48" i="20" s="1"/>
  <c r="AE45" i="20" s="1"/>
  <c r="AE46" i="20" l="1"/>
  <c r="AE47" i="20"/>
  <c r="AE48" i="20"/>
  <c r="AF45" i="20" s="1"/>
  <c r="AD51" i="20"/>
  <c r="AF46" i="20" l="1"/>
  <c r="AF47" i="20"/>
  <c r="AF48" i="20" s="1"/>
  <c r="AG45" i="20" s="1"/>
  <c r="AE51" i="20"/>
  <c r="AG46" i="20" l="1"/>
  <c r="AG47" i="20"/>
  <c r="AG48" i="20" s="1"/>
  <c r="AF51" i="20"/>
  <c r="AG51" i="20" l="1"/>
  <c r="C52" i="20" l="1"/>
  <c r="C53" i="20"/>
  <c r="D32" i="17" l="1"/>
  <c r="E32" i="17" s="1"/>
  <c r="F32" i="17" s="1"/>
  <c r="G32" i="17" s="1"/>
  <c r="H32" i="17" s="1"/>
  <c r="I32" i="17" s="1"/>
  <c r="J32" i="17" s="1"/>
  <c r="K32" i="17" s="1"/>
  <c r="L32" i="17" s="1"/>
  <c r="M32" i="17" s="1"/>
  <c r="N32" i="17" s="1"/>
  <c r="O32" i="17" s="1"/>
  <c r="P32" i="17" s="1"/>
  <c r="Q32" i="17" s="1"/>
  <c r="R32" i="17" s="1"/>
  <c r="S32" i="17" s="1"/>
  <c r="T32" i="17" s="1"/>
  <c r="U32" i="17" s="1"/>
  <c r="V32" i="17" s="1"/>
  <c r="W32" i="17" s="1"/>
  <c r="X32" i="17" s="1"/>
  <c r="Y32" i="17" s="1"/>
  <c r="Z32" i="17" s="1"/>
  <c r="AA32" i="17" s="1"/>
  <c r="AB32" i="17" s="1"/>
  <c r="AC32" i="17" s="1"/>
  <c r="AD32" i="17" s="1"/>
  <c r="AE32" i="17" s="1"/>
  <c r="AF32" i="17" s="1"/>
  <c r="AG32" i="17" s="1"/>
  <c r="D29" i="17"/>
  <c r="E29" i="17" s="1"/>
  <c r="E24" i="17"/>
  <c r="D23" i="17"/>
  <c r="E23" i="17" s="1"/>
  <c r="F23" i="17" s="1"/>
  <c r="C13" i="17"/>
  <c r="C14" i="17" s="1"/>
  <c r="D26" i="17" s="1"/>
  <c r="C9" i="17"/>
  <c r="C6" i="17"/>
  <c r="D34" i="17" s="1"/>
  <c r="I5" i="17"/>
  <c r="H5" i="17"/>
  <c r="K4" i="17"/>
  <c r="J4" i="17"/>
  <c r="I4" i="17"/>
  <c r="H4" i="17"/>
  <c r="C3" i="17"/>
  <c r="C5" i="17" s="1"/>
  <c r="C37" i="17" s="1"/>
  <c r="B1" i="16"/>
  <c r="E1" i="16"/>
  <c r="F1" i="16"/>
  <c r="G1" i="16"/>
  <c r="G2" i="16" s="1"/>
  <c r="B2" i="16"/>
  <c r="D2" i="16"/>
  <c r="E2" i="16"/>
  <c r="F2" i="16"/>
  <c r="D32" i="15"/>
  <c r="E32" i="15" s="1"/>
  <c r="F32" i="15" s="1"/>
  <c r="G32" i="15" s="1"/>
  <c r="H32" i="15" s="1"/>
  <c r="I32" i="15" s="1"/>
  <c r="J32" i="15" s="1"/>
  <c r="K32" i="15" s="1"/>
  <c r="L32" i="15" s="1"/>
  <c r="M32" i="15" s="1"/>
  <c r="N32" i="15" s="1"/>
  <c r="O32" i="15" s="1"/>
  <c r="P32" i="15" s="1"/>
  <c r="Q32" i="15" s="1"/>
  <c r="R32" i="15" s="1"/>
  <c r="S32" i="15" s="1"/>
  <c r="T32" i="15" s="1"/>
  <c r="U32" i="15" s="1"/>
  <c r="V32" i="15" s="1"/>
  <c r="W32" i="15" s="1"/>
  <c r="X32" i="15" s="1"/>
  <c r="Y32" i="15" s="1"/>
  <c r="Z32" i="15" s="1"/>
  <c r="AA32" i="15" s="1"/>
  <c r="AB32" i="15" s="1"/>
  <c r="AC32" i="15" s="1"/>
  <c r="AD32" i="15" s="1"/>
  <c r="AE32" i="15" s="1"/>
  <c r="AF32" i="15" s="1"/>
  <c r="AG32" i="15" s="1"/>
  <c r="D23" i="15"/>
  <c r="E23" i="15" s="1"/>
  <c r="C19" i="15"/>
  <c r="D29" i="15" s="1"/>
  <c r="C13" i="15"/>
  <c r="C14" i="15" s="1"/>
  <c r="D26" i="15" s="1"/>
  <c r="C9" i="15"/>
  <c r="I5" i="15"/>
  <c r="H5" i="15"/>
  <c r="K4" i="15"/>
  <c r="C6" i="15" s="1"/>
  <c r="D34" i="15" s="1"/>
  <c r="J4" i="15"/>
  <c r="I4" i="15"/>
  <c r="H4" i="15"/>
  <c r="C3" i="15"/>
  <c r="C5" i="15" s="1"/>
  <c r="C37" i="15" s="1"/>
  <c r="C39" i="15" s="1"/>
  <c r="D27" i="17" l="1"/>
  <c r="D33" i="17" s="1"/>
  <c r="D35" i="17" s="1"/>
  <c r="E26" i="17"/>
  <c r="C39" i="17"/>
  <c r="F29" i="17"/>
  <c r="F34" i="17"/>
  <c r="E34" i="17"/>
  <c r="G23" i="17"/>
  <c r="F24" i="17"/>
  <c r="H1" i="16"/>
  <c r="E24" i="15"/>
  <c r="F23" i="15"/>
  <c r="D27" i="15"/>
  <c r="E26" i="15"/>
  <c r="D33" i="15"/>
  <c r="D35" i="15" s="1"/>
  <c r="D39" i="15" s="1"/>
  <c r="E29" i="15"/>
  <c r="E34" i="15"/>
  <c r="G29" i="17" l="1"/>
  <c r="E27" i="17"/>
  <c r="E33" i="17" s="1"/>
  <c r="E35" i="17" s="1"/>
  <c r="F26" i="17"/>
  <c r="H23" i="17"/>
  <c r="G24" i="17"/>
  <c r="G34" i="17" s="1"/>
  <c r="D43" i="17"/>
  <c r="D39" i="17"/>
  <c r="I1" i="16"/>
  <c r="H2" i="16"/>
  <c r="F26" i="15"/>
  <c r="E27" i="15"/>
  <c r="G23" i="15"/>
  <c r="F24" i="15"/>
  <c r="F34" i="15" s="1"/>
  <c r="F29" i="15"/>
  <c r="E33" i="15"/>
  <c r="E35" i="15" s="1"/>
  <c r="E39" i="15" s="1"/>
  <c r="I23" i="17" l="1"/>
  <c r="H24" i="17"/>
  <c r="H34" i="17" s="1"/>
  <c r="G26" i="17"/>
  <c r="F27" i="17"/>
  <c r="F33" i="17" s="1"/>
  <c r="F35" i="17" s="1"/>
  <c r="E43" i="17"/>
  <c r="E39" i="17"/>
  <c r="H29" i="17"/>
  <c r="J1" i="16"/>
  <c r="I2" i="16"/>
  <c r="G29" i="15"/>
  <c r="H23" i="15"/>
  <c r="G24" i="15"/>
  <c r="G34" i="15" s="1"/>
  <c r="G26" i="15"/>
  <c r="F27" i="15"/>
  <c r="F33" i="15" s="1"/>
  <c r="F35" i="15" s="1"/>
  <c r="F39" i="15" s="1"/>
  <c r="H26" i="17" l="1"/>
  <c r="G27" i="17"/>
  <c r="G33" i="17" s="1"/>
  <c r="G35" i="17" s="1"/>
  <c r="I24" i="17"/>
  <c r="I34" i="17" s="1"/>
  <c r="J23" i="17"/>
  <c r="I29" i="17"/>
  <c r="F39" i="17"/>
  <c r="F43" i="17"/>
  <c r="K1" i="16"/>
  <c r="J2" i="16"/>
  <c r="G27" i="15"/>
  <c r="H26" i="15"/>
  <c r="I23" i="15"/>
  <c r="H24" i="15"/>
  <c r="H34" i="15" s="1"/>
  <c r="G33" i="15"/>
  <c r="G35" i="15" s="1"/>
  <c r="G39" i="15" s="1"/>
  <c r="H29" i="15"/>
  <c r="J29" i="17" l="1"/>
  <c r="J24" i="17"/>
  <c r="J34" i="17" s="1"/>
  <c r="K23" i="17"/>
  <c r="G43" i="17"/>
  <c r="G39" i="17"/>
  <c r="I26" i="17"/>
  <c r="H27" i="17"/>
  <c r="H33" i="17" s="1"/>
  <c r="H35" i="17" s="1"/>
  <c r="L1" i="16"/>
  <c r="K2" i="16"/>
  <c r="H27" i="15"/>
  <c r="I26" i="15"/>
  <c r="I29" i="15"/>
  <c r="H33" i="15"/>
  <c r="H35" i="15" s="1"/>
  <c r="H39" i="15" s="1"/>
  <c r="J23" i="15"/>
  <c r="I24" i="15"/>
  <c r="I34" i="15" s="1"/>
  <c r="H39" i="17" l="1"/>
  <c r="H43" i="17"/>
  <c r="J26" i="17"/>
  <c r="I27" i="17"/>
  <c r="I33" i="17" s="1"/>
  <c r="I35" i="17" s="1"/>
  <c r="K24" i="17"/>
  <c r="K34" i="17" s="1"/>
  <c r="L23" i="17"/>
  <c r="K29" i="17"/>
  <c r="L2" i="16"/>
  <c r="M1" i="16"/>
  <c r="I27" i="15"/>
  <c r="J26" i="15"/>
  <c r="J24" i="15"/>
  <c r="J34" i="15" s="1"/>
  <c r="K23" i="15"/>
  <c r="J29" i="15"/>
  <c r="I33" i="15"/>
  <c r="I35" i="15" s="1"/>
  <c r="I39" i="15" s="1"/>
  <c r="L29" i="17" l="1"/>
  <c r="M23" i="17"/>
  <c r="L24" i="17"/>
  <c r="L34" i="17" s="1"/>
  <c r="I43" i="17"/>
  <c r="I39" i="17"/>
  <c r="K26" i="17"/>
  <c r="J27" i="17"/>
  <c r="J33" i="17" s="1"/>
  <c r="J35" i="17" s="1"/>
  <c r="M2" i="16"/>
  <c r="N1" i="16"/>
  <c r="K29" i="15"/>
  <c r="K24" i="15"/>
  <c r="K34" i="15" s="1"/>
  <c r="L23" i="15"/>
  <c r="K26" i="15"/>
  <c r="J27" i="15"/>
  <c r="J33" i="15" s="1"/>
  <c r="J35" i="15" s="1"/>
  <c r="J39" i="15" s="1"/>
  <c r="J43" i="17" l="1"/>
  <c r="J39" i="17"/>
  <c r="L26" i="17"/>
  <c r="K27" i="17"/>
  <c r="K33" i="17" s="1"/>
  <c r="K35" i="17" s="1"/>
  <c r="N23" i="17"/>
  <c r="M24" i="17"/>
  <c r="M34" i="17" s="1"/>
  <c r="M29" i="17"/>
  <c r="N2" i="16"/>
  <c r="O1" i="16"/>
  <c r="L26" i="15"/>
  <c r="K27" i="15"/>
  <c r="M23" i="15"/>
  <c r="L24" i="15"/>
  <c r="L34" i="15" s="1"/>
  <c r="K33" i="15"/>
  <c r="K35" i="15" s="1"/>
  <c r="K39" i="15" s="1"/>
  <c r="L29" i="15"/>
  <c r="N29" i="17" l="1"/>
  <c r="N24" i="17"/>
  <c r="N34" i="17" s="1"/>
  <c r="O23" i="17"/>
  <c r="K43" i="17"/>
  <c r="K39" i="17"/>
  <c r="L27" i="17"/>
  <c r="L33" i="17" s="1"/>
  <c r="L35" i="17" s="1"/>
  <c r="M26" i="17"/>
  <c r="O2" i="16"/>
  <c r="P1" i="16"/>
  <c r="M29" i="15"/>
  <c r="M24" i="15"/>
  <c r="M34" i="15" s="1"/>
  <c r="N23" i="15"/>
  <c r="L27" i="15"/>
  <c r="L33" i="15" s="1"/>
  <c r="L35" i="15" s="1"/>
  <c r="L39" i="15" s="1"/>
  <c r="M26" i="15"/>
  <c r="M27" i="17" l="1"/>
  <c r="M33" i="17" s="1"/>
  <c r="M35" i="17" s="1"/>
  <c r="N26" i="17"/>
  <c r="L43" i="17"/>
  <c r="L39" i="17"/>
  <c r="O24" i="17"/>
  <c r="O34" i="17" s="1"/>
  <c r="P23" i="17"/>
  <c r="O29" i="17"/>
  <c r="Q1" i="16"/>
  <c r="P2" i="16"/>
  <c r="N26" i="15"/>
  <c r="M27" i="15"/>
  <c r="O23" i="15"/>
  <c r="N24" i="15"/>
  <c r="N34" i="15" s="1"/>
  <c r="M33" i="15"/>
  <c r="M35" i="15" s="1"/>
  <c r="M39" i="15" s="1"/>
  <c r="N29" i="15"/>
  <c r="O26" i="17" l="1"/>
  <c r="N27" i="17"/>
  <c r="N33" i="17" s="1"/>
  <c r="N35" i="17" s="1"/>
  <c r="P29" i="17"/>
  <c r="P24" i="17"/>
  <c r="P34" i="17" s="1"/>
  <c r="Q23" i="17"/>
  <c r="M43" i="17"/>
  <c r="M39" i="17"/>
  <c r="Q2" i="16"/>
  <c r="R1" i="16"/>
  <c r="O29" i="15"/>
  <c r="P23" i="15"/>
  <c r="O24" i="15"/>
  <c r="O34" i="15" s="1"/>
  <c r="N27" i="15"/>
  <c r="N33" i="15" s="1"/>
  <c r="N35" i="15" s="1"/>
  <c r="N39" i="15" s="1"/>
  <c r="O26" i="15"/>
  <c r="Q24" i="17" l="1"/>
  <c r="Q34" i="17" s="1"/>
  <c r="R23" i="17"/>
  <c r="Q29" i="17"/>
  <c r="N43" i="17"/>
  <c r="N39" i="17"/>
  <c r="O27" i="17"/>
  <c r="O33" i="17" s="1"/>
  <c r="O35" i="17" s="1"/>
  <c r="P26" i="17"/>
  <c r="S1" i="16"/>
  <c r="R2" i="16"/>
  <c r="P26" i="15"/>
  <c r="O27" i="15"/>
  <c r="Q23" i="15"/>
  <c r="P24" i="15"/>
  <c r="P34" i="15" s="1"/>
  <c r="O33" i="15"/>
  <c r="O35" i="15" s="1"/>
  <c r="O39" i="15" s="1"/>
  <c r="P29" i="15"/>
  <c r="P27" i="17" l="1"/>
  <c r="P33" i="17" s="1"/>
  <c r="P35" i="17" s="1"/>
  <c r="Q26" i="17"/>
  <c r="S23" i="17"/>
  <c r="R24" i="17"/>
  <c r="R34" i="17" s="1"/>
  <c r="O43" i="17"/>
  <c r="O39" i="17"/>
  <c r="R29" i="17"/>
  <c r="T1" i="16"/>
  <c r="S2" i="16"/>
  <c r="Q29" i="15"/>
  <c r="R23" i="15"/>
  <c r="Q24" i="15"/>
  <c r="Q34" i="15" s="1"/>
  <c r="P27" i="15"/>
  <c r="P33" i="15" s="1"/>
  <c r="P35" i="15" s="1"/>
  <c r="P39" i="15" s="1"/>
  <c r="Q26" i="15"/>
  <c r="S29" i="17" l="1"/>
  <c r="P43" i="17"/>
  <c r="P39" i="17"/>
  <c r="T23" i="17"/>
  <c r="S24" i="17"/>
  <c r="S34" i="17" s="1"/>
  <c r="R26" i="17"/>
  <c r="Q27" i="17"/>
  <c r="Q33" i="17" s="1"/>
  <c r="Q35" i="17" s="1"/>
  <c r="U1" i="16"/>
  <c r="T2" i="16"/>
  <c r="R29" i="15"/>
  <c r="Q27" i="15"/>
  <c r="Q33" i="15" s="1"/>
  <c r="Q35" i="15" s="1"/>
  <c r="Q39" i="15" s="1"/>
  <c r="R26" i="15"/>
  <c r="R24" i="15"/>
  <c r="R34" i="15" s="1"/>
  <c r="S23" i="15"/>
  <c r="T29" i="17" l="1"/>
  <c r="Q39" i="17"/>
  <c r="Q43" i="17"/>
  <c r="S26" i="17"/>
  <c r="R27" i="17"/>
  <c r="R33" i="17" s="1"/>
  <c r="R35" i="17" s="1"/>
  <c r="U23" i="17"/>
  <c r="T24" i="17"/>
  <c r="T34" i="17" s="1"/>
  <c r="U2" i="16"/>
  <c r="V1" i="16"/>
  <c r="S24" i="15"/>
  <c r="S34" i="15" s="1"/>
  <c r="T23" i="15"/>
  <c r="S26" i="15"/>
  <c r="R27" i="15"/>
  <c r="R33" i="15"/>
  <c r="R35" i="15" s="1"/>
  <c r="R39" i="15" s="1"/>
  <c r="S29" i="15"/>
  <c r="V23" i="17" l="1"/>
  <c r="U24" i="17"/>
  <c r="U34" i="17" s="1"/>
  <c r="S27" i="17"/>
  <c r="S33" i="17" s="1"/>
  <c r="S35" i="17" s="1"/>
  <c r="T26" i="17"/>
  <c r="R39" i="17"/>
  <c r="R43" i="17"/>
  <c r="U29" i="17"/>
  <c r="V2" i="16"/>
  <c r="W1" i="16"/>
  <c r="T29" i="15"/>
  <c r="S27" i="15"/>
  <c r="S33" i="15" s="1"/>
  <c r="S35" i="15" s="1"/>
  <c r="S39" i="15" s="1"/>
  <c r="T26" i="15"/>
  <c r="T24" i="15"/>
  <c r="T34" i="15" s="1"/>
  <c r="U23" i="15"/>
  <c r="V29" i="17" l="1"/>
  <c r="T27" i="17"/>
  <c r="T33" i="17" s="1"/>
  <c r="T35" i="17" s="1"/>
  <c r="U26" i="17"/>
  <c r="S39" i="17"/>
  <c r="S43" i="17"/>
  <c r="V24" i="17"/>
  <c r="V34" i="17" s="1"/>
  <c r="W23" i="17"/>
  <c r="W2" i="16"/>
  <c r="X1" i="16"/>
  <c r="U29" i="15"/>
  <c r="U24" i="15"/>
  <c r="U34" i="15" s="1"/>
  <c r="V23" i="15"/>
  <c r="U26" i="15"/>
  <c r="T27" i="15"/>
  <c r="T33" i="15" s="1"/>
  <c r="T35" i="15" s="1"/>
  <c r="T39" i="15" s="1"/>
  <c r="W24" i="17" l="1"/>
  <c r="W34" i="17" s="1"/>
  <c r="X23" i="17"/>
  <c r="U27" i="17"/>
  <c r="U33" i="17" s="1"/>
  <c r="U35" i="17" s="1"/>
  <c r="V26" i="17"/>
  <c r="T39" i="17"/>
  <c r="T43" i="17"/>
  <c r="W29" i="17"/>
  <c r="Y1" i="16"/>
  <c r="X2" i="16"/>
  <c r="V26" i="15"/>
  <c r="U27" i="15"/>
  <c r="W23" i="15"/>
  <c r="V24" i="15"/>
  <c r="V34" i="15" s="1"/>
  <c r="U33" i="15"/>
  <c r="U35" i="15" s="1"/>
  <c r="U39" i="15" s="1"/>
  <c r="V29" i="15"/>
  <c r="X29" i="17" l="1"/>
  <c r="W26" i="17"/>
  <c r="V27" i="17"/>
  <c r="V33" i="17" s="1"/>
  <c r="V35" i="17" s="1"/>
  <c r="Y23" i="17"/>
  <c r="X24" i="17"/>
  <c r="X34" i="17" s="1"/>
  <c r="U39" i="17"/>
  <c r="U43" i="17"/>
  <c r="Z1" i="16"/>
  <c r="Y2" i="16"/>
  <c r="W29" i="15"/>
  <c r="X23" i="15"/>
  <c r="W24" i="15"/>
  <c r="W34" i="15" s="1"/>
  <c r="W26" i="15"/>
  <c r="V27" i="15"/>
  <c r="V33" i="15" s="1"/>
  <c r="V35" i="15" s="1"/>
  <c r="V39" i="15" s="1"/>
  <c r="Y24" i="17" l="1"/>
  <c r="Y34" i="17" s="1"/>
  <c r="Z23" i="17"/>
  <c r="Y29" i="17"/>
  <c r="V39" i="17"/>
  <c r="V43" i="17"/>
  <c r="X26" i="17"/>
  <c r="W27" i="17"/>
  <c r="W33" i="17" s="1"/>
  <c r="W35" i="17" s="1"/>
  <c r="Z2" i="16"/>
  <c r="AA1" i="16"/>
  <c r="W27" i="15"/>
  <c r="X26" i="15"/>
  <c r="Y23" i="15"/>
  <c r="X24" i="15"/>
  <c r="X34" i="15" s="1"/>
  <c r="W33" i="15"/>
  <c r="W35" i="15" s="1"/>
  <c r="W39" i="15" s="1"/>
  <c r="X29" i="15"/>
  <c r="W39" i="17" l="1"/>
  <c r="W43" i="17"/>
  <c r="AA23" i="17"/>
  <c r="Z24" i="17"/>
  <c r="Z34" i="17" s="1"/>
  <c r="Y26" i="17"/>
  <c r="X27" i="17"/>
  <c r="X33" i="17" s="1"/>
  <c r="X35" i="17" s="1"/>
  <c r="Z29" i="17"/>
  <c r="AA2" i="16"/>
  <c r="AB1" i="16"/>
  <c r="Y29" i="15"/>
  <c r="Z23" i="15"/>
  <c r="Y24" i="15"/>
  <c r="Y34" i="15" s="1"/>
  <c r="X27" i="15"/>
  <c r="X33" i="15" s="1"/>
  <c r="X35" i="15" s="1"/>
  <c r="X39" i="15" s="1"/>
  <c r="Y26" i="15"/>
  <c r="X43" i="17" l="1"/>
  <c r="X39" i="17"/>
  <c r="AA29" i="17"/>
  <c r="Y27" i="17"/>
  <c r="Y33" i="17" s="1"/>
  <c r="Y35" i="17" s="1"/>
  <c r="Z26" i="17"/>
  <c r="AA24" i="17"/>
  <c r="AA34" i="17" s="1"/>
  <c r="AB23" i="17"/>
  <c r="AC1" i="16"/>
  <c r="AB2" i="16"/>
  <c r="Y27" i="15"/>
  <c r="Z26" i="15"/>
  <c r="AA23" i="15"/>
  <c r="Z24" i="15"/>
  <c r="Z34" i="15" s="1"/>
  <c r="Z29" i="15"/>
  <c r="Y33" i="15"/>
  <c r="Y35" i="15" s="1"/>
  <c r="Y39" i="15" s="1"/>
  <c r="AC23" i="17" l="1"/>
  <c r="AB24" i="17"/>
  <c r="AB34" i="17" s="1"/>
  <c r="AA26" i="17"/>
  <c r="Z27" i="17"/>
  <c r="Z33" i="17" s="1"/>
  <c r="Z35" i="17" s="1"/>
  <c r="Y39" i="17"/>
  <c r="Y43" i="17"/>
  <c r="AB29" i="17"/>
  <c r="AD1" i="16"/>
  <c r="AC2" i="16"/>
  <c r="AA29" i="15"/>
  <c r="AB23" i="15"/>
  <c r="AA24" i="15"/>
  <c r="AA34" i="15" s="1"/>
  <c r="AA26" i="15"/>
  <c r="Z27" i="15"/>
  <c r="Z33" i="15" s="1"/>
  <c r="Z35" i="15" s="1"/>
  <c r="Z39" i="15" s="1"/>
  <c r="AC29" i="17" l="1"/>
  <c r="Z43" i="17"/>
  <c r="Z39" i="17"/>
  <c r="AB26" i="17"/>
  <c r="AA27" i="17"/>
  <c r="AA33" i="17" s="1"/>
  <c r="AA35" i="17" s="1"/>
  <c r="AD23" i="17"/>
  <c r="AC24" i="17"/>
  <c r="AC34" i="17" s="1"/>
  <c r="AD2" i="16"/>
  <c r="AE1" i="16"/>
  <c r="AB26" i="15"/>
  <c r="AA27" i="15"/>
  <c r="AC23" i="15"/>
  <c r="AB24" i="15"/>
  <c r="AB34" i="15" s="1"/>
  <c r="AA33" i="15"/>
  <c r="AA35" i="15" s="1"/>
  <c r="AA39" i="15" s="1"/>
  <c r="AB29" i="15"/>
  <c r="AA43" i="17" l="1"/>
  <c r="AA39" i="17"/>
  <c r="AD24" i="17"/>
  <c r="AD34" i="17" s="1"/>
  <c r="AE23" i="17"/>
  <c r="AC26" i="17"/>
  <c r="AB27" i="17"/>
  <c r="AB33" i="17" s="1"/>
  <c r="AB35" i="17" s="1"/>
  <c r="AD29" i="17"/>
  <c r="AE2" i="16"/>
  <c r="AF1" i="16"/>
  <c r="AB33" i="15"/>
  <c r="AB35" i="15" s="1"/>
  <c r="AB39" i="15" s="1"/>
  <c r="AC29" i="15"/>
  <c r="AD23" i="15"/>
  <c r="AC24" i="15"/>
  <c r="AC34" i="15" s="1"/>
  <c r="AC26" i="15"/>
  <c r="AB27" i="15"/>
  <c r="AE24" i="17" l="1"/>
  <c r="AE34" i="17" s="1"/>
  <c r="AF23" i="17"/>
  <c r="AE29" i="17"/>
  <c r="AB43" i="17"/>
  <c r="AB39" i="17"/>
  <c r="AD26" i="17"/>
  <c r="AC27" i="17"/>
  <c r="AC33" i="17" s="1"/>
  <c r="AC35" i="17" s="1"/>
  <c r="AF2" i="16"/>
  <c r="AG1" i="16"/>
  <c r="AG2" i="16" s="1"/>
  <c r="B3" i="16" s="1"/>
  <c r="B4" i="16" s="1"/>
  <c r="AD26" i="15"/>
  <c r="AC27" i="15"/>
  <c r="AD24" i="15"/>
  <c r="AD34" i="15" s="1"/>
  <c r="AE23" i="15"/>
  <c r="AD29" i="15"/>
  <c r="AC33" i="15"/>
  <c r="AC35" i="15" s="1"/>
  <c r="AC39" i="15" s="1"/>
  <c r="AC43" i="17" l="1"/>
  <c r="AC39" i="17"/>
  <c r="AD27" i="17"/>
  <c r="AD33" i="17" s="1"/>
  <c r="AD35" i="17" s="1"/>
  <c r="AE26" i="17"/>
  <c r="AF29" i="17"/>
  <c r="AF24" i="17"/>
  <c r="AF34" i="17" s="1"/>
  <c r="AG23" i="17"/>
  <c r="AG24" i="17" s="1"/>
  <c r="AG34" i="17" s="1"/>
  <c r="AF23" i="15"/>
  <c r="AE24" i="15"/>
  <c r="AE34" i="15" s="1"/>
  <c r="AE29" i="15"/>
  <c r="AE26" i="15"/>
  <c r="AD27" i="15"/>
  <c r="AD33" i="15" s="1"/>
  <c r="AD35" i="15" s="1"/>
  <c r="AD39" i="15" s="1"/>
  <c r="AG29" i="17" l="1"/>
  <c r="AF26" i="17"/>
  <c r="AE27" i="17"/>
  <c r="AE33" i="17" s="1"/>
  <c r="AE35" i="17" s="1"/>
  <c r="AD43" i="17"/>
  <c r="AD39" i="17"/>
  <c r="AF26" i="15"/>
  <c r="AE27" i="15"/>
  <c r="AE33" i="15"/>
  <c r="AE35" i="15" s="1"/>
  <c r="AE39" i="15" s="1"/>
  <c r="AF29" i="15"/>
  <c r="AG23" i="15"/>
  <c r="AG24" i="15" s="1"/>
  <c r="AG34" i="15" s="1"/>
  <c r="AF24" i="15"/>
  <c r="AF34" i="15" s="1"/>
  <c r="AE43" i="17" l="1"/>
  <c r="AE39" i="17"/>
  <c r="AG26" i="17"/>
  <c r="AG27" i="17" s="1"/>
  <c r="AF27" i="17"/>
  <c r="AF33" i="17" s="1"/>
  <c r="AF35" i="17" s="1"/>
  <c r="AG33" i="17"/>
  <c r="AG35" i="17" s="1"/>
  <c r="AG29" i="15"/>
  <c r="AG26" i="15"/>
  <c r="AG27" i="15" s="1"/>
  <c r="AF27" i="15"/>
  <c r="AF33" i="15" s="1"/>
  <c r="AF35" i="15" s="1"/>
  <c r="AF39" i="15" s="1"/>
  <c r="AG43" i="17" l="1"/>
  <c r="AG39" i="17"/>
  <c r="AF39" i="17"/>
  <c r="AF43" i="17"/>
  <c r="AG33" i="15"/>
  <c r="AG35" i="15" s="1"/>
  <c r="AG39" i="15" s="1"/>
  <c r="C40" i="17" l="1"/>
  <c r="C41" i="17"/>
  <c r="C44" i="17"/>
  <c r="C40" i="15"/>
  <c r="C41" i="15"/>
  <c r="D45" i="17" l="1"/>
  <c r="C55" i="17"/>
  <c r="C50" i="17"/>
  <c r="C56" i="17" l="1"/>
  <c r="C51" i="17"/>
  <c r="C57" i="17"/>
  <c r="D46" i="17"/>
  <c r="D47" i="17" l="1"/>
  <c r="D48" i="17" s="1"/>
  <c r="E45" i="17" s="1"/>
  <c r="E46" i="17" l="1"/>
  <c r="D51" i="17"/>
  <c r="E47" i="17" l="1"/>
  <c r="E48" i="17" s="1"/>
  <c r="F45" i="17" s="1"/>
  <c r="E51" i="17" l="1"/>
  <c r="F46" i="17"/>
  <c r="F47" i="17"/>
  <c r="F48" i="17" s="1"/>
  <c r="G45" i="17" s="1"/>
  <c r="G46" i="17" l="1"/>
  <c r="G47" i="17"/>
  <c r="G48" i="17" s="1"/>
  <c r="H45" i="17" s="1"/>
  <c r="F51" i="17"/>
  <c r="H46" i="17" l="1"/>
  <c r="H47" i="17"/>
  <c r="H48" i="17"/>
  <c r="I45" i="17" s="1"/>
  <c r="G51" i="17"/>
  <c r="I47" i="17" l="1"/>
  <c r="I48" i="17" s="1"/>
  <c r="J45" i="17" s="1"/>
  <c r="I46" i="17"/>
  <c r="H51" i="17"/>
  <c r="J46" i="17" l="1"/>
  <c r="I51" i="17"/>
  <c r="J47" i="17" l="1"/>
  <c r="J48" i="17" s="1"/>
  <c r="K45" i="17" s="1"/>
  <c r="K46" i="17" l="1"/>
  <c r="J51" i="17"/>
  <c r="K47" i="17" l="1"/>
  <c r="K48" i="17" s="1"/>
  <c r="L45" i="17" s="1"/>
  <c r="L46" i="17" l="1"/>
  <c r="K51" i="17"/>
  <c r="L47" i="17" l="1"/>
  <c r="L48" i="17" s="1"/>
  <c r="M45" i="17" s="1"/>
  <c r="M46" i="17" l="1"/>
  <c r="M47" i="17"/>
  <c r="M48" i="17" s="1"/>
  <c r="N45" i="17" s="1"/>
  <c r="L51" i="17"/>
  <c r="N46" i="17" l="1"/>
  <c r="M51" i="17"/>
  <c r="N47" i="17" l="1"/>
  <c r="N48" i="17" s="1"/>
  <c r="O45" i="17" s="1"/>
  <c r="O46" i="17" l="1"/>
  <c r="N51" i="17"/>
  <c r="O47" i="17" l="1"/>
  <c r="O48" i="17" s="1"/>
  <c r="P45" i="17" s="1"/>
  <c r="P46" i="17" l="1"/>
  <c r="P47" i="17"/>
  <c r="P48" i="17" s="1"/>
  <c r="Q45" i="17" s="1"/>
  <c r="O51" i="17"/>
  <c r="Q46" i="17" l="1"/>
  <c r="Q47" i="17"/>
  <c r="Q48" i="17" s="1"/>
  <c r="R45" i="17" s="1"/>
  <c r="P51" i="17"/>
  <c r="R46" i="17" l="1"/>
  <c r="R47" i="17"/>
  <c r="R48" i="17"/>
  <c r="S45" i="17" s="1"/>
  <c r="Q51" i="17"/>
  <c r="S46" i="17" l="1"/>
  <c r="R51" i="17"/>
  <c r="S47" i="17" l="1"/>
  <c r="S48" i="17" s="1"/>
  <c r="T45" i="17" s="1"/>
  <c r="T46" i="17" l="1"/>
  <c r="S51" i="17"/>
  <c r="T47" i="17" l="1"/>
  <c r="T48" i="17" s="1"/>
  <c r="U45" i="17" s="1"/>
  <c r="U46" i="17" l="1"/>
  <c r="U47" i="17"/>
  <c r="U48" i="17" s="1"/>
  <c r="V45" i="17" s="1"/>
  <c r="T51" i="17"/>
  <c r="V46" i="17" l="1"/>
  <c r="V47" i="17"/>
  <c r="V48" i="17" s="1"/>
  <c r="W45" i="17" s="1"/>
  <c r="U51" i="17"/>
  <c r="W46" i="17" l="1"/>
  <c r="W47" i="17"/>
  <c r="W48" i="17" s="1"/>
  <c r="X45" i="17" s="1"/>
  <c r="V51" i="17"/>
  <c r="X46" i="17" l="1"/>
  <c r="W51" i="17"/>
  <c r="X47" i="17" l="1"/>
  <c r="X48" i="17" s="1"/>
  <c r="Y45" i="17" s="1"/>
  <c r="Y46" i="17" l="1"/>
  <c r="Y47" i="17" s="1"/>
  <c r="Y48" i="17" s="1"/>
  <c r="Z45" i="17" s="1"/>
  <c r="X51" i="17"/>
  <c r="Z46" i="17" l="1"/>
  <c r="Y51" i="17"/>
  <c r="Z47" i="17" l="1"/>
  <c r="Z48" i="17" s="1"/>
  <c r="AA45" i="17" s="1"/>
  <c r="AA46" i="17" l="1"/>
  <c r="Z51" i="17"/>
  <c r="AA47" i="17" l="1"/>
  <c r="AA48" i="17" s="1"/>
  <c r="AB45" i="17" s="1"/>
  <c r="AB46" i="17" l="1"/>
  <c r="AA51" i="17"/>
  <c r="AB47" i="17" l="1"/>
  <c r="AB48" i="17" s="1"/>
  <c r="AC45" i="17" s="1"/>
  <c r="AC46" i="17" l="1"/>
  <c r="AC47" i="17"/>
  <c r="AC48" i="17"/>
  <c r="AD45" i="17" s="1"/>
  <c r="AB51" i="17"/>
  <c r="AD46" i="17" l="1"/>
  <c r="AC51" i="17"/>
  <c r="AD47" i="17" l="1"/>
  <c r="AD48" i="17" s="1"/>
  <c r="AE45" i="17" s="1"/>
  <c r="AE46" i="17" l="1"/>
  <c r="AD51" i="17"/>
  <c r="AE47" i="17" l="1"/>
  <c r="AE48" i="17" s="1"/>
  <c r="AF45" i="17" s="1"/>
  <c r="AF46" i="17" l="1"/>
  <c r="AF47" i="17"/>
  <c r="AF48" i="17" s="1"/>
  <c r="AG45" i="17" s="1"/>
  <c r="AE51" i="17"/>
  <c r="AG46" i="17" l="1"/>
  <c r="AG47" i="17"/>
  <c r="AG48" i="17"/>
  <c r="AF51" i="17"/>
  <c r="AG51" i="17" l="1"/>
  <c r="C52" i="17" l="1"/>
  <c r="C53" i="17"/>
  <c r="D34" i="14" l="1"/>
  <c r="D32" i="14"/>
  <c r="E32" i="14" s="1"/>
  <c r="F32" i="14" s="1"/>
  <c r="G32" i="14" s="1"/>
  <c r="H32" i="14" s="1"/>
  <c r="I32" i="14" s="1"/>
  <c r="J32" i="14" s="1"/>
  <c r="K32" i="14" s="1"/>
  <c r="L32" i="14" s="1"/>
  <c r="M32" i="14" s="1"/>
  <c r="N32" i="14" s="1"/>
  <c r="O32" i="14" s="1"/>
  <c r="P32" i="14" s="1"/>
  <c r="Q32" i="14" s="1"/>
  <c r="R32" i="14" s="1"/>
  <c r="S32" i="14" s="1"/>
  <c r="T32" i="14" s="1"/>
  <c r="U32" i="14" s="1"/>
  <c r="V32" i="14" s="1"/>
  <c r="W32" i="14" s="1"/>
  <c r="X32" i="14" s="1"/>
  <c r="Y32" i="14" s="1"/>
  <c r="Z32" i="14" s="1"/>
  <c r="AA32" i="14" s="1"/>
  <c r="AB32" i="14" s="1"/>
  <c r="AC32" i="14" s="1"/>
  <c r="AD32" i="14" s="1"/>
  <c r="AE32" i="14" s="1"/>
  <c r="AF32" i="14" s="1"/>
  <c r="AG32" i="14" s="1"/>
  <c r="D29" i="14"/>
  <c r="E29" i="14" s="1"/>
  <c r="D23" i="14"/>
  <c r="E23" i="14" s="1"/>
  <c r="C13" i="14"/>
  <c r="C14" i="14" s="1"/>
  <c r="D26" i="14" s="1"/>
  <c r="C9" i="14"/>
  <c r="C6" i="14"/>
  <c r="I5" i="14"/>
  <c r="H5" i="14"/>
  <c r="K4" i="14"/>
  <c r="J4" i="14"/>
  <c r="I4" i="14"/>
  <c r="H4" i="14"/>
  <c r="C3" i="14"/>
  <c r="C5" i="14" s="1"/>
  <c r="C37" i="14" s="1"/>
  <c r="D2" i="13"/>
  <c r="E1" i="13"/>
  <c r="E2" i="13" s="1"/>
  <c r="B1" i="13"/>
  <c r="B2" i="13" s="1"/>
  <c r="D32" i="12"/>
  <c r="E32" i="12" s="1"/>
  <c r="F32" i="12" s="1"/>
  <c r="G32" i="12" s="1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R32" i="12" s="1"/>
  <c r="S32" i="12" s="1"/>
  <c r="T32" i="12" s="1"/>
  <c r="U32" i="12" s="1"/>
  <c r="V32" i="12" s="1"/>
  <c r="W32" i="12" s="1"/>
  <c r="X32" i="12" s="1"/>
  <c r="Y32" i="12" s="1"/>
  <c r="Z32" i="12" s="1"/>
  <c r="AA32" i="12" s="1"/>
  <c r="AB32" i="12" s="1"/>
  <c r="AC32" i="12" s="1"/>
  <c r="AD32" i="12" s="1"/>
  <c r="AE32" i="12" s="1"/>
  <c r="AF32" i="12" s="1"/>
  <c r="AG32" i="12" s="1"/>
  <c r="D23" i="12"/>
  <c r="E23" i="12" s="1"/>
  <c r="C19" i="12"/>
  <c r="D29" i="12" s="1"/>
  <c r="C13" i="12"/>
  <c r="C14" i="12" s="1"/>
  <c r="D26" i="12" s="1"/>
  <c r="C9" i="12"/>
  <c r="I5" i="12"/>
  <c r="H5" i="12"/>
  <c r="K4" i="12"/>
  <c r="J4" i="12"/>
  <c r="C6" i="12" s="1"/>
  <c r="D34" i="12" s="1"/>
  <c r="I4" i="12"/>
  <c r="H4" i="12"/>
  <c r="C3" i="12"/>
  <c r="C5" i="12" s="1"/>
  <c r="C37" i="12" s="1"/>
  <c r="C39" i="12" s="1"/>
  <c r="E24" i="14" l="1"/>
  <c r="F23" i="14"/>
  <c r="C39" i="14"/>
  <c r="D27" i="14"/>
  <c r="D33" i="14" s="1"/>
  <c r="D35" i="14" s="1"/>
  <c r="E26" i="14"/>
  <c r="F29" i="14"/>
  <c r="E34" i="14"/>
  <c r="F1" i="13"/>
  <c r="E24" i="12"/>
  <c r="F23" i="12"/>
  <c r="E34" i="12"/>
  <c r="E26" i="12"/>
  <c r="D27" i="12"/>
  <c r="D33" i="12"/>
  <c r="D35" i="12" s="1"/>
  <c r="D39" i="12" s="1"/>
  <c r="E29" i="12"/>
  <c r="E27" i="14" l="1"/>
  <c r="E33" i="14" s="1"/>
  <c r="E35" i="14" s="1"/>
  <c r="F26" i="14"/>
  <c r="G29" i="14"/>
  <c r="G23" i="14"/>
  <c r="F24" i="14"/>
  <c r="F34" i="14" s="1"/>
  <c r="D39" i="14"/>
  <c r="D43" i="14"/>
  <c r="G1" i="13"/>
  <c r="F2" i="13"/>
  <c r="F26" i="12"/>
  <c r="E27" i="12"/>
  <c r="G23" i="12"/>
  <c r="F24" i="12"/>
  <c r="F34" i="12" s="1"/>
  <c r="E33" i="12"/>
  <c r="E35" i="12" s="1"/>
  <c r="E39" i="12" s="1"/>
  <c r="F29" i="12"/>
  <c r="H23" i="14" l="1"/>
  <c r="G24" i="14"/>
  <c r="G34" i="14" s="1"/>
  <c r="H29" i="14"/>
  <c r="G26" i="14"/>
  <c r="F27" i="14"/>
  <c r="F33" i="14" s="1"/>
  <c r="F35" i="14" s="1"/>
  <c r="E39" i="14"/>
  <c r="E43" i="14"/>
  <c r="G2" i="13"/>
  <c r="H1" i="13"/>
  <c r="H23" i="12"/>
  <c r="G24" i="12"/>
  <c r="G34" i="12" s="1"/>
  <c r="G29" i="12"/>
  <c r="G26" i="12"/>
  <c r="F27" i="12"/>
  <c r="F33" i="12" s="1"/>
  <c r="F35" i="12" s="1"/>
  <c r="F39" i="12" s="1"/>
  <c r="G27" i="14" l="1"/>
  <c r="G33" i="14" s="1"/>
  <c r="G35" i="14" s="1"/>
  <c r="H26" i="14"/>
  <c r="I29" i="14"/>
  <c r="F43" i="14"/>
  <c r="F39" i="14"/>
  <c r="I23" i="14"/>
  <c r="H24" i="14"/>
  <c r="H34" i="14" s="1"/>
  <c r="I1" i="13"/>
  <c r="H2" i="13"/>
  <c r="G27" i="12"/>
  <c r="H26" i="12"/>
  <c r="G33" i="12"/>
  <c r="G35" i="12" s="1"/>
  <c r="G39" i="12" s="1"/>
  <c r="H29" i="12"/>
  <c r="H24" i="12"/>
  <c r="H34" i="12" s="1"/>
  <c r="I23" i="12"/>
  <c r="J29" i="14" l="1"/>
  <c r="H27" i="14"/>
  <c r="H33" i="14" s="1"/>
  <c r="H35" i="14" s="1"/>
  <c r="I26" i="14"/>
  <c r="J23" i="14"/>
  <c r="I24" i="14"/>
  <c r="I34" i="14" s="1"/>
  <c r="G39" i="14"/>
  <c r="G43" i="14"/>
  <c r="J1" i="13"/>
  <c r="I2" i="13"/>
  <c r="J23" i="12"/>
  <c r="I24" i="12"/>
  <c r="I34" i="12" s="1"/>
  <c r="I29" i="12"/>
  <c r="H27" i="12"/>
  <c r="H33" i="12" s="1"/>
  <c r="H35" i="12" s="1"/>
  <c r="H39" i="12" s="1"/>
  <c r="I26" i="12"/>
  <c r="K23" i="14" l="1"/>
  <c r="J24" i="14"/>
  <c r="J34" i="14" s="1"/>
  <c r="J26" i="14"/>
  <c r="I27" i="14"/>
  <c r="I33" i="14" s="1"/>
  <c r="I35" i="14" s="1"/>
  <c r="H43" i="14"/>
  <c r="H39" i="14"/>
  <c r="K29" i="14"/>
  <c r="K1" i="13"/>
  <c r="J2" i="13"/>
  <c r="J29" i="12"/>
  <c r="J24" i="12"/>
  <c r="J34" i="12" s="1"/>
  <c r="K23" i="12"/>
  <c r="I27" i="12"/>
  <c r="I33" i="12" s="1"/>
  <c r="I35" i="12" s="1"/>
  <c r="I39" i="12" s="1"/>
  <c r="J26" i="12"/>
  <c r="I39" i="14" l="1"/>
  <c r="I43" i="14"/>
  <c r="L29" i="14"/>
  <c r="K26" i="14"/>
  <c r="J27" i="14"/>
  <c r="J33" i="14" s="1"/>
  <c r="J35" i="14" s="1"/>
  <c r="K24" i="14"/>
  <c r="K34" i="14" s="1"/>
  <c r="L23" i="14"/>
  <c r="L1" i="13"/>
  <c r="K2" i="13"/>
  <c r="K26" i="12"/>
  <c r="J27" i="12"/>
  <c r="K24" i="12"/>
  <c r="K34" i="12" s="1"/>
  <c r="L23" i="12"/>
  <c r="K29" i="12"/>
  <c r="J33" i="12"/>
  <c r="J35" i="12" s="1"/>
  <c r="J39" i="12" s="1"/>
  <c r="M29" i="14" l="1"/>
  <c r="M23" i="14"/>
  <c r="L24" i="14"/>
  <c r="L34" i="14" s="1"/>
  <c r="J43" i="14"/>
  <c r="J39" i="14"/>
  <c r="L26" i="14"/>
  <c r="K27" i="14"/>
  <c r="K33" i="14" s="1"/>
  <c r="K35" i="14" s="1"/>
  <c r="M1" i="13"/>
  <c r="L2" i="13"/>
  <c r="L29" i="12"/>
  <c r="M23" i="12"/>
  <c r="L24" i="12"/>
  <c r="L34" i="12" s="1"/>
  <c r="L26" i="12"/>
  <c r="K27" i="12"/>
  <c r="K33" i="12" s="1"/>
  <c r="K35" i="12" s="1"/>
  <c r="K39" i="12" s="1"/>
  <c r="M26" i="14" l="1"/>
  <c r="L27" i="14"/>
  <c r="L33" i="14" s="1"/>
  <c r="L35" i="14" s="1"/>
  <c r="N23" i="14"/>
  <c r="M24" i="14"/>
  <c r="M34" i="14" s="1"/>
  <c r="K43" i="14"/>
  <c r="K39" i="14"/>
  <c r="N29" i="14"/>
  <c r="M2" i="13"/>
  <c r="N1" i="13"/>
  <c r="M26" i="12"/>
  <c r="L27" i="12"/>
  <c r="M24" i="12"/>
  <c r="M34" i="12" s="1"/>
  <c r="N23" i="12"/>
  <c r="M29" i="12"/>
  <c r="L33" i="12"/>
  <c r="L35" i="12" s="1"/>
  <c r="L39" i="12" s="1"/>
  <c r="O29" i="14" l="1"/>
  <c r="N24" i="14"/>
  <c r="N34" i="14" s="1"/>
  <c r="O23" i="14"/>
  <c r="L43" i="14"/>
  <c r="L39" i="14"/>
  <c r="N26" i="14"/>
  <c r="M27" i="14"/>
  <c r="M33" i="14" s="1"/>
  <c r="M35" i="14" s="1"/>
  <c r="O1" i="13"/>
  <c r="N2" i="13"/>
  <c r="N29" i="12"/>
  <c r="N24" i="12"/>
  <c r="N34" i="12" s="1"/>
  <c r="O23" i="12"/>
  <c r="N26" i="12"/>
  <c r="M27" i="12"/>
  <c r="M33" i="12" s="1"/>
  <c r="M35" i="12" s="1"/>
  <c r="M39" i="12" s="1"/>
  <c r="M43" i="14" l="1"/>
  <c r="M39" i="14"/>
  <c r="O26" i="14"/>
  <c r="N27" i="14"/>
  <c r="N33" i="14" s="1"/>
  <c r="N35" i="14" s="1"/>
  <c r="O24" i="14"/>
  <c r="O34" i="14" s="1"/>
  <c r="P23" i="14"/>
  <c r="P29" i="14"/>
  <c r="P1" i="13"/>
  <c r="O2" i="13"/>
  <c r="N27" i="12"/>
  <c r="O26" i="12"/>
  <c r="O24" i="12"/>
  <c r="O34" i="12" s="1"/>
  <c r="P23" i="12"/>
  <c r="N33" i="12"/>
  <c r="N35" i="12" s="1"/>
  <c r="N39" i="12" s="1"/>
  <c r="O29" i="12"/>
  <c r="P24" i="14" l="1"/>
  <c r="P34" i="14" s="1"/>
  <c r="Q23" i="14"/>
  <c r="N43" i="14"/>
  <c r="N39" i="14"/>
  <c r="Q29" i="14"/>
  <c r="O27" i="14"/>
  <c r="O33" i="14" s="1"/>
  <c r="O35" i="14" s="1"/>
  <c r="P26" i="14"/>
  <c r="Q1" i="13"/>
  <c r="P2" i="13"/>
  <c r="P29" i="12"/>
  <c r="Q23" i="12"/>
  <c r="P24" i="12"/>
  <c r="P34" i="12" s="1"/>
  <c r="P26" i="12"/>
  <c r="O27" i="12"/>
  <c r="O33" i="12" s="1"/>
  <c r="O35" i="12" s="1"/>
  <c r="O39" i="12" s="1"/>
  <c r="O43" i="14" l="1"/>
  <c r="O39" i="14"/>
  <c r="Q24" i="14"/>
  <c r="Q34" i="14" s="1"/>
  <c r="R23" i="14"/>
  <c r="P27" i="14"/>
  <c r="P33" i="14" s="1"/>
  <c r="P35" i="14" s="1"/>
  <c r="Q26" i="14"/>
  <c r="R29" i="14"/>
  <c r="R1" i="13"/>
  <c r="Q2" i="13"/>
  <c r="P27" i="12"/>
  <c r="Q26" i="12"/>
  <c r="R23" i="12"/>
  <c r="Q24" i="12"/>
  <c r="Q34" i="12" s="1"/>
  <c r="P33" i="12"/>
  <c r="P35" i="12" s="1"/>
  <c r="P39" i="12" s="1"/>
  <c r="Q29" i="12"/>
  <c r="S29" i="14" l="1"/>
  <c r="R26" i="14"/>
  <c r="Q27" i="14"/>
  <c r="Q33" i="14" s="1"/>
  <c r="Q35" i="14" s="1"/>
  <c r="P39" i="14"/>
  <c r="P43" i="14"/>
  <c r="R24" i="14"/>
  <c r="R34" i="14" s="1"/>
  <c r="S23" i="14"/>
  <c r="R2" i="13"/>
  <c r="S1" i="13"/>
  <c r="R29" i="12"/>
  <c r="R24" i="12"/>
  <c r="R34" i="12" s="1"/>
  <c r="S23" i="12"/>
  <c r="Q27" i="12"/>
  <c r="Q33" i="12" s="1"/>
  <c r="Q35" i="12" s="1"/>
  <c r="Q39" i="12" s="1"/>
  <c r="R26" i="12"/>
  <c r="Q43" i="14" l="1"/>
  <c r="Q39" i="14"/>
  <c r="S24" i="14"/>
  <c r="S34" i="14" s="1"/>
  <c r="T23" i="14"/>
  <c r="S26" i="14"/>
  <c r="R27" i="14"/>
  <c r="R33" i="14" s="1"/>
  <c r="R35" i="14" s="1"/>
  <c r="T29" i="14"/>
  <c r="S2" i="13"/>
  <c r="T1" i="13"/>
  <c r="S26" i="12"/>
  <c r="R27" i="12"/>
  <c r="S24" i="12"/>
  <c r="S34" i="12" s="1"/>
  <c r="T23" i="12"/>
  <c r="S29" i="12"/>
  <c r="R33" i="12"/>
  <c r="R35" i="12" s="1"/>
  <c r="R39" i="12" s="1"/>
  <c r="U29" i="14" l="1"/>
  <c r="R39" i="14"/>
  <c r="R43" i="14"/>
  <c r="S27" i="14"/>
  <c r="S33" i="14" s="1"/>
  <c r="S35" i="14" s="1"/>
  <c r="T26" i="14"/>
  <c r="T24" i="14"/>
  <c r="T34" i="14" s="1"/>
  <c r="U23" i="14"/>
  <c r="U1" i="13"/>
  <c r="T2" i="13"/>
  <c r="T29" i="12"/>
  <c r="T24" i="12"/>
  <c r="T34" i="12" s="1"/>
  <c r="U23" i="12"/>
  <c r="T26" i="12"/>
  <c r="S27" i="12"/>
  <c r="S33" i="12" s="1"/>
  <c r="S35" i="12" s="1"/>
  <c r="S39" i="12" s="1"/>
  <c r="U24" i="14" l="1"/>
  <c r="U34" i="14" s="1"/>
  <c r="V23" i="14"/>
  <c r="T27" i="14"/>
  <c r="T33" i="14" s="1"/>
  <c r="T35" i="14" s="1"/>
  <c r="U26" i="14"/>
  <c r="S43" i="14"/>
  <c r="S39" i="14"/>
  <c r="V29" i="14"/>
  <c r="V1" i="13"/>
  <c r="U2" i="13"/>
  <c r="U26" i="12"/>
  <c r="T27" i="12"/>
  <c r="U24" i="12"/>
  <c r="U34" i="12" s="1"/>
  <c r="V23" i="12"/>
  <c r="T33" i="12"/>
  <c r="T35" i="12" s="1"/>
  <c r="T39" i="12" s="1"/>
  <c r="U29" i="12"/>
  <c r="W29" i="14" l="1"/>
  <c r="T43" i="14"/>
  <c r="T39" i="14"/>
  <c r="W23" i="14"/>
  <c r="V24" i="14"/>
  <c r="V34" i="14" s="1"/>
  <c r="U27" i="14"/>
  <c r="U33" i="14" s="1"/>
  <c r="U35" i="14" s="1"/>
  <c r="V26" i="14"/>
  <c r="W1" i="13"/>
  <c r="V2" i="13"/>
  <c r="V29" i="12"/>
  <c r="W23" i="12"/>
  <c r="V24" i="12"/>
  <c r="V34" i="12" s="1"/>
  <c r="V26" i="12"/>
  <c r="U27" i="12"/>
  <c r="U33" i="12" s="1"/>
  <c r="U35" i="12" s="1"/>
  <c r="U39" i="12" s="1"/>
  <c r="V27" i="14" l="1"/>
  <c r="V33" i="14" s="1"/>
  <c r="V35" i="14" s="1"/>
  <c r="W26" i="14"/>
  <c r="U43" i="14"/>
  <c r="U39" i="14"/>
  <c r="X23" i="14"/>
  <c r="W24" i="14"/>
  <c r="W34" i="14" s="1"/>
  <c r="X29" i="14"/>
  <c r="W2" i="13"/>
  <c r="X1" i="13"/>
  <c r="W29" i="12"/>
  <c r="W26" i="12"/>
  <c r="V27" i="12"/>
  <c r="V33" i="12" s="1"/>
  <c r="V35" i="12" s="1"/>
  <c r="V39" i="12" s="1"/>
  <c r="W24" i="12"/>
  <c r="W34" i="12" s="1"/>
  <c r="X23" i="12"/>
  <c r="Y29" i="14" l="1"/>
  <c r="Y23" i="14"/>
  <c r="X24" i="14"/>
  <c r="X34" i="14" s="1"/>
  <c r="W27" i="14"/>
  <c r="W33" i="14" s="1"/>
  <c r="W35" i="14" s="1"/>
  <c r="X26" i="14"/>
  <c r="V43" i="14"/>
  <c r="V39" i="14"/>
  <c r="Y1" i="13"/>
  <c r="X2" i="13"/>
  <c r="X24" i="12"/>
  <c r="X34" i="12" s="1"/>
  <c r="Y23" i="12"/>
  <c r="X26" i="12"/>
  <c r="W27" i="12"/>
  <c r="W33" i="12" s="1"/>
  <c r="W35" i="12" s="1"/>
  <c r="W39" i="12" s="1"/>
  <c r="X29" i="12"/>
  <c r="X27" i="14" l="1"/>
  <c r="X33" i="14" s="1"/>
  <c r="X35" i="14" s="1"/>
  <c r="Y26" i="14"/>
  <c r="W43" i="14"/>
  <c r="W39" i="14"/>
  <c r="Z23" i="14"/>
  <c r="Y24" i="14"/>
  <c r="Y34" i="14" s="1"/>
  <c r="Z29" i="14"/>
  <c r="Y2" i="13"/>
  <c r="Z1" i="13"/>
  <c r="Y29" i="12"/>
  <c r="X27" i="12"/>
  <c r="X33" i="12" s="1"/>
  <c r="X35" i="12" s="1"/>
  <c r="X39" i="12" s="1"/>
  <c r="Y26" i="12"/>
  <c r="Z23" i="12"/>
  <c r="Y24" i="12"/>
  <c r="Y34" i="12" s="1"/>
  <c r="AA29" i="14" l="1"/>
  <c r="Z24" i="14"/>
  <c r="Z34" i="14" s="1"/>
  <c r="AA23" i="14"/>
  <c r="Z26" i="14"/>
  <c r="Y27" i="14"/>
  <c r="Y33" i="14" s="1"/>
  <c r="Y35" i="14" s="1"/>
  <c r="X43" i="14"/>
  <c r="X39" i="14"/>
  <c r="Z2" i="13"/>
  <c r="AA1" i="13"/>
  <c r="Z24" i="12"/>
  <c r="Z34" i="12" s="1"/>
  <c r="AA23" i="12"/>
  <c r="Y27" i="12"/>
  <c r="Z26" i="12"/>
  <c r="Z29" i="12"/>
  <c r="Y33" i="12"/>
  <c r="Y35" i="12" s="1"/>
  <c r="Y39" i="12" s="1"/>
  <c r="Y39" i="14" l="1"/>
  <c r="Y43" i="14"/>
  <c r="AA26" i="14"/>
  <c r="Z27" i="14"/>
  <c r="Z33" i="14" s="1"/>
  <c r="Z35" i="14" s="1"/>
  <c r="AB23" i="14"/>
  <c r="AA24" i="14"/>
  <c r="AA34" i="14" s="1"/>
  <c r="AB29" i="14"/>
  <c r="AA2" i="13"/>
  <c r="AB1" i="13"/>
  <c r="AA29" i="12"/>
  <c r="AA26" i="12"/>
  <c r="Z27" i="12"/>
  <c r="Z33" i="12" s="1"/>
  <c r="Z35" i="12" s="1"/>
  <c r="Z39" i="12" s="1"/>
  <c r="AB23" i="12"/>
  <c r="AA24" i="12"/>
  <c r="AA34" i="12" s="1"/>
  <c r="AC29" i="14" l="1"/>
  <c r="AC23" i="14"/>
  <c r="AB24" i="14"/>
  <c r="AB34" i="14" s="1"/>
  <c r="Z39" i="14"/>
  <c r="Z43" i="14"/>
  <c r="AB26" i="14"/>
  <c r="AA27" i="14"/>
  <c r="AA33" i="14" s="1"/>
  <c r="AA35" i="14" s="1"/>
  <c r="AB2" i="13"/>
  <c r="AC1" i="13"/>
  <c r="AB24" i="12"/>
  <c r="AB34" i="12" s="1"/>
  <c r="AC23" i="12"/>
  <c r="AA27" i="12"/>
  <c r="AB26" i="12"/>
  <c r="AA33" i="12"/>
  <c r="AA35" i="12" s="1"/>
  <c r="AA39" i="12" s="1"/>
  <c r="AB29" i="12"/>
  <c r="AC26" i="14" l="1"/>
  <c r="AB27" i="14"/>
  <c r="AB33" i="14" s="1"/>
  <c r="AB35" i="14" s="1"/>
  <c r="AA43" i="14"/>
  <c r="AA39" i="14"/>
  <c r="AD23" i="14"/>
  <c r="AC24" i="14"/>
  <c r="AC34" i="14" s="1"/>
  <c r="AD29" i="14"/>
  <c r="AD1" i="13"/>
  <c r="AC2" i="13"/>
  <c r="AC29" i="12"/>
  <c r="AC26" i="12"/>
  <c r="AB27" i="12"/>
  <c r="AB33" i="12" s="1"/>
  <c r="AB35" i="12" s="1"/>
  <c r="AB39" i="12" s="1"/>
  <c r="AD23" i="12"/>
  <c r="AC24" i="12"/>
  <c r="AC34" i="12" s="1"/>
  <c r="AE29" i="14" l="1"/>
  <c r="AD24" i="14"/>
  <c r="AD34" i="14" s="1"/>
  <c r="AE23" i="14"/>
  <c r="AB43" i="14"/>
  <c r="AB39" i="14"/>
  <c r="AD26" i="14"/>
  <c r="AC27" i="14"/>
  <c r="AC33" i="14" s="1"/>
  <c r="AC35" i="14" s="1"/>
  <c r="AE1" i="13"/>
  <c r="AD2" i="13"/>
  <c r="AD24" i="12"/>
  <c r="AD34" i="12" s="1"/>
  <c r="AE23" i="12"/>
  <c r="AD26" i="12"/>
  <c r="AC27" i="12"/>
  <c r="AD29" i="12"/>
  <c r="AC33" i="12"/>
  <c r="AC35" i="12" s="1"/>
  <c r="AC39" i="12" s="1"/>
  <c r="AD27" i="14" l="1"/>
  <c r="AD33" i="14" s="1"/>
  <c r="AD35" i="14" s="1"/>
  <c r="AE26" i="14"/>
  <c r="AC43" i="14"/>
  <c r="AC39" i="14"/>
  <c r="AE24" i="14"/>
  <c r="AE34" i="14" s="1"/>
  <c r="AF23" i="14"/>
  <c r="AF29" i="14"/>
  <c r="AF1" i="13"/>
  <c r="AE2" i="13"/>
  <c r="AE29" i="12"/>
  <c r="AD27" i="12"/>
  <c r="AD33" i="12" s="1"/>
  <c r="AD35" i="12" s="1"/>
  <c r="AD39" i="12" s="1"/>
  <c r="AE26" i="12"/>
  <c r="AF23" i="12"/>
  <c r="AE24" i="12"/>
  <c r="AE34" i="12" s="1"/>
  <c r="AG29" i="14" l="1"/>
  <c r="AF24" i="14"/>
  <c r="AF34" i="14" s="1"/>
  <c r="AG23" i="14"/>
  <c r="AG24" i="14" s="1"/>
  <c r="AG34" i="14" s="1"/>
  <c r="AF26" i="14"/>
  <c r="AE27" i="14"/>
  <c r="AE33" i="14" s="1"/>
  <c r="AE35" i="14" s="1"/>
  <c r="AD43" i="14"/>
  <c r="AD39" i="14"/>
  <c r="AG1" i="13"/>
  <c r="AG2" i="13" s="1"/>
  <c r="AF2" i="13"/>
  <c r="AG23" i="12"/>
  <c r="AG24" i="12" s="1"/>
  <c r="AG34" i="12" s="1"/>
  <c r="AF24" i="12"/>
  <c r="AF34" i="12" s="1"/>
  <c r="AF29" i="12"/>
  <c r="AF26" i="12"/>
  <c r="AE27" i="12"/>
  <c r="AE33" i="12" s="1"/>
  <c r="AE35" i="12" s="1"/>
  <c r="AE39" i="12" s="1"/>
  <c r="AE43" i="14" l="1"/>
  <c r="AE39" i="14"/>
  <c r="AG26" i="14"/>
  <c r="AG27" i="14" s="1"/>
  <c r="AF27" i="14"/>
  <c r="AF33" i="14" s="1"/>
  <c r="AF35" i="14" s="1"/>
  <c r="AG33" i="14"/>
  <c r="AG35" i="14" s="1"/>
  <c r="B3" i="13"/>
  <c r="B4" i="13" s="1"/>
  <c r="AG26" i="12"/>
  <c r="AG27" i="12" s="1"/>
  <c r="AF27" i="12"/>
  <c r="AG29" i="12"/>
  <c r="AG33" i="12" s="1"/>
  <c r="AG35" i="12" s="1"/>
  <c r="AG39" i="12" s="1"/>
  <c r="AF33" i="12"/>
  <c r="AF35" i="12" s="1"/>
  <c r="AF39" i="12" s="1"/>
  <c r="AF43" i="14" l="1"/>
  <c r="AF39" i="14"/>
  <c r="AG39" i="14"/>
  <c r="AG43" i="14"/>
  <c r="C44" i="14" s="1"/>
  <c r="C40" i="12"/>
  <c r="C41" i="12"/>
  <c r="C55" i="14" l="1"/>
  <c r="D45" i="14"/>
  <c r="C50" i="14"/>
  <c r="C40" i="14"/>
  <c r="C41" i="14"/>
  <c r="C56" i="14" l="1"/>
  <c r="C51" i="14"/>
  <c r="D46" i="14"/>
  <c r="C57" i="14"/>
  <c r="D47" i="14" l="1"/>
  <c r="D48" i="14" s="1"/>
  <c r="E45" i="14" s="1"/>
  <c r="E48" i="14" l="1"/>
  <c r="F45" i="14" s="1"/>
  <c r="E46" i="14"/>
  <c r="E47" i="14"/>
  <c r="D51" i="14"/>
  <c r="F46" i="14" l="1"/>
  <c r="F47" i="14"/>
  <c r="F48" i="14" s="1"/>
  <c r="G45" i="14" s="1"/>
  <c r="E51" i="14"/>
  <c r="G46" i="14" l="1"/>
  <c r="G47" i="14"/>
  <c r="G48" i="14"/>
  <c r="H45" i="14" s="1"/>
  <c r="F51" i="14"/>
  <c r="H46" i="14" l="1"/>
  <c r="H47" i="14"/>
  <c r="H48" i="14"/>
  <c r="I45" i="14" s="1"/>
  <c r="G51" i="14"/>
  <c r="I46" i="14" l="1"/>
  <c r="I47" i="14"/>
  <c r="I48" i="14"/>
  <c r="J45" i="14" s="1"/>
  <c r="H51" i="14"/>
  <c r="J46" i="14" l="1"/>
  <c r="I51" i="14"/>
  <c r="J47" i="14" l="1"/>
  <c r="J48" i="14" s="1"/>
  <c r="K45" i="14" s="1"/>
  <c r="K46" i="14" l="1"/>
  <c r="K47" i="14"/>
  <c r="K48" i="14" s="1"/>
  <c r="L45" i="14" s="1"/>
  <c r="J51" i="14"/>
  <c r="L46" i="14" l="1"/>
  <c r="L47" i="14"/>
  <c r="L48" i="14"/>
  <c r="M45" i="14" s="1"/>
  <c r="K51" i="14"/>
  <c r="M46" i="14" l="1"/>
  <c r="M47" i="14"/>
  <c r="M48" i="14"/>
  <c r="N45" i="14" s="1"/>
  <c r="L51" i="14"/>
  <c r="N46" i="14" l="1"/>
  <c r="M51" i="14"/>
  <c r="N47" i="14" l="1"/>
  <c r="N48" i="14" s="1"/>
  <c r="O45" i="14" s="1"/>
  <c r="O46" i="14" l="1"/>
  <c r="N51" i="14"/>
  <c r="O47" i="14" l="1"/>
  <c r="O48" i="14" s="1"/>
  <c r="P45" i="14" s="1"/>
  <c r="P46" i="14" l="1"/>
  <c r="P47" i="14"/>
  <c r="P48" i="14"/>
  <c r="Q45" i="14" s="1"/>
  <c r="O51" i="14"/>
  <c r="Q46" i="14" l="1"/>
  <c r="Q47" i="14"/>
  <c r="Q48" i="14" s="1"/>
  <c r="R45" i="14" s="1"/>
  <c r="P51" i="14"/>
  <c r="R46" i="14" l="1"/>
  <c r="R47" i="14"/>
  <c r="R48" i="14"/>
  <c r="S45" i="14" s="1"/>
  <c r="Q51" i="14"/>
  <c r="S46" i="14" l="1"/>
  <c r="R51" i="14"/>
  <c r="S47" i="14" l="1"/>
  <c r="S48" i="14" s="1"/>
  <c r="T45" i="14" s="1"/>
  <c r="T46" i="14" l="1"/>
  <c r="S51" i="14"/>
  <c r="T47" i="14" l="1"/>
  <c r="T48" i="14" s="1"/>
  <c r="U45" i="14" s="1"/>
  <c r="U46" i="14" l="1"/>
  <c r="T51" i="14"/>
  <c r="U47" i="14" l="1"/>
  <c r="U48" i="14" s="1"/>
  <c r="V45" i="14" s="1"/>
  <c r="V46" i="14" l="1"/>
  <c r="U51" i="14"/>
  <c r="V47" i="14" l="1"/>
  <c r="V48" i="14" s="1"/>
  <c r="W45" i="14" s="1"/>
  <c r="W46" i="14" l="1"/>
  <c r="W47" i="14"/>
  <c r="W48" i="14" s="1"/>
  <c r="X45" i="14" s="1"/>
  <c r="V51" i="14"/>
  <c r="X46" i="14" l="1"/>
  <c r="X47" i="14"/>
  <c r="X48" i="14" s="1"/>
  <c r="Y45" i="14" s="1"/>
  <c r="W51" i="14"/>
  <c r="Y46" i="14" l="1"/>
  <c r="X51" i="14"/>
  <c r="Y51" i="14" l="1"/>
  <c r="Y47" i="14"/>
  <c r="Y48" i="14" s="1"/>
  <c r="Z45" i="14" s="1"/>
  <c r="Z46" i="14" l="1"/>
  <c r="Z47" i="14"/>
  <c r="Z48" i="14"/>
  <c r="AA45" i="14" s="1"/>
  <c r="AA46" i="14" l="1"/>
  <c r="AA47" i="14"/>
  <c r="AA48" i="14"/>
  <c r="AB45" i="14" s="1"/>
  <c r="Z51" i="14"/>
  <c r="AB46" i="14" l="1"/>
  <c r="AB47" i="14"/>
  <c r="AB48" i="14"/>
  <c r="AC45" i="14" s="1"/>
  <c r="AA51" i="14"/>
  <c r="AC46" i="14" l="1"/>
  <c r="AC47" i="14"/>
  <c r="AC48" i="14"/>
  <c r="AD45" i="14" s="1"/>
  <c r="AB51" i="14"/>
  <c r="AD46" i="14" l="1"/>
  <c r="AC51" i="14"/>
  <c r="AD47" i="14" l="1"/>
  <c r="AD48" i="14" s="1"/>
  <c r="AE45" i="14" s="1"/>
  <c r="AE46" i="14" l="1"/>
  <c r="AD51" i="14"/>
  <c r="AE47" i="14" l="1"/>
  <c r="AE48" i="14" s="1"/>
  <c r="AF45" i="14" s="1"/>
  <c r="AF46" i="14" l="1"/>
  <c r="AF47" i="14"/>
  <c r="AF48" i="14" s="1"/>
  <c r="AG45" i="14" s="1"/>
  <c r="AE51" i="14"/>
  <c r="AG46" i="14" l="1"/>
  <c r="AG47" i="14"/>
  <c r="AG48" i="14" s="1"/>
  <c r="AF51" i="14"/>
  <c r="AG51" i="14" l="1"/>
  <c r="C52" i="14" l="1"/>
  <c r="C53" i="14"/>
  <c r="D32" i="11" l="1"/>
  <c r="E32" i="11" s="1"/>
  <c r="F32" i="11" s="1"/>
  <c r="G32" i="11" s="1"/>
  <c r="H32" i="11" s="1"/>
  <c r="I32" i="11" s="1"/>
  <c r="J32" i="11" s="1"/>
  <c r="K32" i="11" s="1"/>
  <c r="L32" i="11" s="1"/>
  <c r="M32" i="11" s="1"/>
  <c r="N32" i="11" s="1"/>
  <c r="O32" i="11" s="1"/>
  <c r="P32" i="11" s="1"/>
  <c r="Q32" i="11" s="1"/>
  <c r="R32" i="11" s="1"/>
  <c r="S32" i="11" s="1"/>
  <c r="T32" i="11" s="1"/>
  <c r="U32" i="11" s="1"/>
  <c r="V32" i="11" s="1"/>
  <c r="W32" i="11" s="1"/>
  <c r="X32" i="11" s="1"/>
  <c r="Y32" i="11" s="1"/>
  <c r="Z32" i="11" s="1"/>
  <c r="AA32" i="11" s="1"/>
  <c r="AB32" i="11" s="1"/>
  <c r="AC32" i="11" s="1"/>
  <c r="AD32" i="11" s="1"/>
  <c r="AE32" i="11" s="1"/>
  <c r="AF32" i="11" s="1"/>
  <c r="AG32" i="11" s="1"/>
  <c r="D29" i="11"/>
  <c r="E29" i="11" s="1"/>
  <c r="D23" i="11"/>
  <c r="E23" i="11" s="1"/>
  <c r="C14" i="11"/>
  <c r="D26" i="11" s="1"/>
  <c r="C13" i="11"/>
  <c r="C9" i="11"/>
  <c r="I5" i="11"/>
  <c r="H5" i="11"/>
  <c r="K4" i="11"/>
  <c r="C6" i="11" s="1"/>
  <c r="D34" i="11" s="1"/>
  <c r="J4" i="11"/>
  <c r="I4" i="11"/>
  <c r="H4" i="11"/>
  <c r="C3" i="11"/>
  <c r="C5" i="11" s="1"/>
  <c r="C37" i="11" s="1"/>
  <c r="C39" i="11" s="1"/>
  <c r="E24" i="11" l="1"/>
  <c r="E34" i="11" s="1"/>
  <c r="F23" i="11"/>
  <c r="F29" i="11"/>
  <c r="E26" i="11"/>
  <c r="D27" i="11"/>
  <c r="D33" i="11" s="1"/>
  <c r="D35" i="11" s="1"/>
  <c r="D39" i="11" s="1"/>
  <c r="G29" i="11" l="1"/>
  <c r="E27" i="11"/>
  <c r="E33" i="11" s="1"/>
  <c r="E35" i="11" s="1"/>
  <c r="E39" i="11" s="1"/>
  <c r="F26" i="11"/>
  <c r="G23" i="11"/>
  <c r="F24" i="11"/>
  <c r="F34" i="11" s="1"/>
  <c r="H23" i="11" l="1"/>
  <c r="G24" i="11"/>
  <c r="G34" i="11" s="1"/>
  <c r="G26" i="11"/>
  <c r="F27" i="11"/>
  <c r="F33" i="11" s="1"/>
  <c r="F35" i="11" s="1"/>
  <c r="F39" i="11" s="1"/>
  <c r="H29" i="11"/>
  <c r="I29" i="11" l="1"/>
  <c r="H26" i="11"/>
  <c r="G27" i="11"/>
  <c r="G33" i="11" s="1"/>
  <c r="G35" i="11" s="1"/>
  <c r="G39" i="11" s="1"/>
  <c r="H24" i="11"/>
  <c r="H34" i="11" s="1"/>
  <c r="I23" i="11"/>
  <c r="J29" i="11" l="1"/>
  <c r="I24" i="11"/>
  <c r="I34" i="11" s="1"/>
  <c r="J23" i="11"/>
  <c r="H27" i="11"/>
  <c r="H33" i="11" s="1"/>
  <c r="H35" i="11" s="1"/>
  <c r="H39" i="11" s="1"/>
  <c r="I26" i="11"/>
  <c r="I27" i="11" l="1"/>
  <c r="I33" i="11" s="1"/>
  <c r="I35" i="11" s="1"/>
  <c r="I39" i="11" s="1"/>
  <c r="J26" i="11"/>
  <c r="K23" i="11"/>
  <c r="J24" i="11"/>
  <c r="J34" i="11" s="1"/>
  <c r="K29" i="11"/>
  <c r="L29" i="11" l="1"/>
  <c r="L23" i="11"/>
  <c r="K24" i="11"/>
  <c r="K34" i="11" s="1"/>
  <c r="K26" i="11"/>
  <c r="J27" i="11"/>
  <c r="J33" i="11" s="1"/>
  <c r="J35" i="11" s="1"/>
  <c r="J39" i="11" s="1"/>
  <c r="L26" i="11" l="1"/>
  <c r="K27" i="11"/>
  <c r="K33" i="11" s="1"/>
  <c r="K35" i="11" s="1"/>
  <c r="K39" i="11" s="1"/>
  <c r="L24" i="11"/>
  <c r="L34" i="11" s="1"/>
  <c r="M23" i="11"/>
  <c r="M29" i="11"/>
  <c r="N29" i="11" l="1"/>
  <c r="N23" i="11"/>
  <c r="M24" i="11"/>
  <c r="M34" i="11" s="1"/>
  <c r="L27" i="11"/>
  <c r="L33" i="11" s="1"/>
  <c r="L35" i="11" s="1"/>
  <c r="L39" i="11" s="1"/>
  <c r="M26" i="11"/>
  <c r="N26" i="11" l="1"/>
  <c r="M27" i="11"/>
  <c r="M33" i="11" s="1"/>
  <c r="M35" i="11" s="1"/>
  <c r="M39" i="11" s="1"/>
  <c r="N24" i="11"/>
  <c r="N34" i="11" s="1"/>
  <c r="O23" i="11"/>
  <c r="O29" i="11"/>
  <c r="P29" i="11" l="1"/>
  <c r="O24" i="11"/>
  <c r="O34" i="11" s="1"/>
  <c r="P23" i="11"/>
  <c r="O26" i="11"/>
  <c r="N27" i="11"/>
  <c r="N33" i="11" s="1"/>
  <c r="N35" i="11" s="1"/>
  <c r="N39" i="11" s="1"/>
  <c r="Q29" i="11" l="1"/>
  <c r="P26" i="11"/>
  <c r="O27" i="11"/>
  <c r="O33" i="11" s="1"/>
  <c r="O35" i="11" s="1"/>
  <c r="O39" i="11" s="1"/>
  <c r="P24" i="11"/>
  <c r="P34" i="11" s="1"/>
  <c r="Q23" i="11"/>
  <c r="R23" i="11" l="1"/>
  <c r="Q24" i="11"/>
  <c r="Q34" i="11" s="1"/>
  <c r="Q26" i="11"/>
  <c r="P27" i="11"/>
  <c r="P33" i="11" s="1"/>
  <c r="P35" i="11" s="1"/>
  <c r="P39" i="11" s="1"/>
  <c r="R29" i="11"/>
  <c r="S29" i="11" l="1"/>
  <c r="Q27" i="11"/>
  <c r="Q33" i="11" s="1"/>
  <c r="Q35" i="11" s="1"/>
  <c r="Q39" i="11" s="1"/>
  <c r="R26" i="11"/>
  <c r="R24" i="11"/>
  <c r="R34" i="11" s="1"/>
  <c r="S23" i="11"/>
  <c r="T29" i="11" l="1"/>
  <c r="S24" i="11"/>
  <c r="S34" i="11" s="1"/>
  <c r="T23" i="11"/>
  <c r="S26" i="11"/>
  <c r="R27" i="11"/>
  <c r="R33" i="11" s="1"/>
  <c r="R35" i="11" s="1"/>
  <c r="R39" i="11" s="1"/>
  <c r="T24" i="11" l="1"/>
  <c r="T34" i="11" s="1"/>
  <c r="U23" i="11"/>
  <c r="S27" i="11"/>
  <c r="S33" i="11" s="1"/>
  <c r="S35" i="11" s="1"/>
  <c r="S39" i="11" s="1"/>
  <c r="T26" i="11"/>
  <c r="U29" i="11"/>
  <c r="V29" i="11" l="1"/>
  <c r="T27" i="11"/>
  <c r="T33" i="11" s="1"/>
  <c r="T35" i="11" s="1"/>
  <c r="T39" i="11" s="1"/>
  <c r="U26" i="11"/>
  <c r="U24" i="11"/>
  <c r="U34" i="11" s="1"/>
  <c r="V23" i="11"/>
  <c r="W23" i="11" l="1"/>
  <c r="V24" i="11"/>
  <c r="V34" i="11" s="1"/>
  <c r="V26" i="11"/>
  <c r="U27" i="11"/>
  <c r="U33" i="11" s="1"/>
  <c r="U35" i="11" s="1"/>
  <c r="U39" i="11" s="1"/>
  <c r="W29" i="11"/>
  <c r="W24" i="11" l="1"/>
  <c r="W34" i="11" s="1"/>
  <c r="X23" i="11"/>
  <c r="X29" i="11"/>
  <c r="W26" i="11"/>
  <c r="V27" i="11"/>
  <c r="V33" i="11" s="1"/>
  <c r="V35" i="11" s="1"/>
  <c r="V39" i="11" s="1"/>
  <c r="W27" i="11" l="1"/>
  <c r="W33" i="11" s="1"/>
  <c r="W35" i="11" s="1"/>
  <c r="W39" i="11" s="1"/>
  <c r="X26" i="11"/>
  <c r="Y29" i="11"/>
  <c r="Y23" i="11"/>
  <c r="X24" i="11"/>
  <c r="X34" i="11" s="1"/>
  <c r="Z23" i="11" l="1"/>
  <c r="Y24" i="11"/>
  <c r="Y34" i="11" s="1"/>
  <c r="Z29" i="11"/>
  <c r="X27" i="11"/>
  <c r="X33" i="11" s="1"/>
  <c r="X35" i="11" s="1"/>
  <c r="X39" i="11" s="1"/>
  <c r="Y26" i="11"/>
  <c r="Y27" i="11" l="1"/>
  <c r="Y33" i="11" s="1"/>
  <c r="Y35" i="11" s="1"/>
  <c r="Y39" i="11" s="1"/>
  <c r="Z26" i="11"/>
  <c r="AA29" i="11"/>
  <c r="Z24" i="11"/>
  <c r="Z34" i="11" s="1"/>
  <c r="AA23" i="11"/>
  <c r="AB23" i="11" l="1"/>
  <c r="AA24" i="11"/>
  <c r="AA34" i="11" s="1"/>
  <c r="AB29" i="11"/>
  <c r="AA26" i="11"/>
  <c r="Z27" i="11"/>
  <c r="Z33" i="11" s="1"/>
  <c r="Z35" i="11" s="1"/>
  <c r="Z39" i="11" s="1"/>
  <c r="AA27" i="11" l="1"/>
  <c r="AA33" i="11" s="1"/>
  <c r="AA35" i="11" s="1"/>
  <c r="AA39" i="11" s="1"/>
  <c r="AB26" i="11"/>
  <c r="AC29" i="11"/>
  <c r="AB24" i="11"/>
  <c r="AB34" i="11" s="1"/>
  <c r="AC23" i="11"/>
  <c r="AD23" i="11" l="1"/>
  <c r="AC24" i="11"/>
  <c r="AC34" i="11" s="1"/>
  <c r="AD29" i="11"/>
  <c r="AC26" i="11"/>
  <c r="AB27" i="11"/>
  <c r="AB33" i="11" s="1"/>
  <c r="AB35" i="11" s="1"/>
  <c r="AB39" i="11" s="1"/>
  <c r="AE29" i="11" l="1"/>
  <c r="AD26" i="11"/>
  <c r="AC27" i="11"/>
  <c r="AC33" i="11" s="1"/>
  <c r="AC35" i="11" s="1"/>
  <c r="AC39" i="11" s="1"/>
  <c r="AE23" i="11"/>
  <c r="AD24" i="11"/>
  <c r="AD34" i="11" s="1"/>
  <c r="AF23" i="11" l="1"/>
  <c r="AE24" i="11"/>
  <c r="AE34" i="11" s="1"/>
  <c r="AD27" i="11"/>
  <c r="AD33" i="11" s="1"/>
  <c r="AD35" i="11" s="1"/>
  <c r="AD39" i="11" s="1"/>
  <c r="AE26" i="11"/>
  <c r="AF29" i="11"/>
  <c r="AG29" i="11" l="1"/>
  <c r="AF26" i="11"/>
  <c r="AE27" i="11"/>
  <c r="AE33" i="11" s="1"/>
  <c r="AE35" i="11" s="1"/>
  <c r="AE39" i="11" s="1"/>
  <c r="AG23" i="11"/>
  <c r="AG24" i="11" s="1"/>
  <c r="AG34" i="11" s="1"/>
  <c r="AF24" i="11"/>
  <c r="AF34" i="11" s="1"/>
  <c r="AF27" i="11" l="1"/>
  <c r="AF33" i="11" s="1"/>
  <c r="AF35" i="11" s="1"/>
  <c r="AF39" i="11" s="1"/>
  <c r="AG26" i="11"/>
  <c r="AG27" i="11" s="1"/>
  <c r="AG33" i="11"/>
  <c r="AG35" i="11" s="1"/>
  <c r="AG39" i="11" s="1"/>
  <c r="C41" i="11" l="1"/>
  <c r="C40" i="11"/>
  <c r="D2" i="10" l="1"/>
  <c r="E1" i="10"/>
  <c r="F1" i="10" s="1"/>
  <c r="B1" i="10"/>
  <c r="B2" i="10" s="1"/>
  <c r="G1" i="10" l="1"/>
  <c r="F2" i="10"/>
  <c r="E2" i="10"/>
  <c r="C19" i="9"/>
  <c r="E32" i="9"/>
  <c r="F32" i="9" s="1"/>
  <c r="G32" i="9" s="1"/>
  <c r="H32" i="9" s="1"/>
  <c r="I32" i="9" s="1"/>
  <c r="J32" i="9" s="1"/>
  <c r="K32" i="9" s="1"/>
  <c r="L32" i="9" s="1"/>
  <c r="M32" i="9" s="1"/>
  <c r="N32" i="9" s="1"/>
  <c r="O32" i="9" s="1"/>
  <c r="P32" i="9" s="1"/>
  <c r="Q32" i="9" s="1"/>
  <c r="R32" i="9" s="1"/>
  <c r="S32" i="9" s="1"/>
  <c r="T32" i="9" s="1"/>
  <c r="U32" i="9" s="1"/>
  <c r="V32" i="9" s="1"/>
  <c r="W32" i="9" s="1"/>
  <c r="X32" i="9" s="1"/>
  <c r="Y32" i="9" s="1"/>
  <c r="Z32" i="9" s="1"/>
  <c r="AA32" i="9" s="1"/>
  <c r="AB32" i="9" s="1"/>
  <c r="AC32" i="9" s="1"/>
  <c r="AD32" i="9" s="1"/>
  <c r="AE32" i="9" s="1"/>
  <c r="AF32" i="9" s="1"/>
  <c r="AG32" i="9" s="1"/>
  <c r="D32" i="9"/>
  <c r="D23" i="9"/>
  <c r="E23" i="9" s="1"/>
  <c r="D29" i="9"/>
  <c r="C13" i="9"/>
  <c r="C14" i="9" s="1"/>
  <c r="D26" i="9" s="1"/>
  <c r="C9" i="9"/>
  <c r="I5" i="9"/>
  <c r="H5" i="9"/>
  <c r="K4" i="9"/>
  <c r="C6" i="9" s="1"/>
  <c r="D34" i="9" s="1"/>
  <c r="J4" i="9"/>
  <c r="I4" i="9"/>
  <c r="H4" i="9"/>
  <c r="C3" i="9"/>
  <c r="C5" i="9" s="1"/>
  <c r="C37" i="9" s="1"/>
  <c r="C39" i="9" s="1"/>
  <c r="H1" i="10" l="1"/>
  <c r="G2" i="10"/>
  <c r="E34" i="9"/>
  <c r="E26" i="9"/>
  <c r="D27" i="9"/>
  <c r="E29" i="9"/>
  <c r="D33" i="9"/>
  <c r="D35" i="9" s="1"/>
  <c r="D39" i="9" s="1"/>
  <c r="E24" i="9"/>
  <c r="F23" i="9"/>
  <c r="I1" i="10" l="1"/>
  <c r="H2" i="10"/>
  <c r="F29" i="9"/>
  <c r="E27" i="9"/>
  <c r="E33" i="9" s="1"/>
  <c r="E35" i="9" s="1"/>
  <c r="E39" i="9" s="1"/>
  <c r="F26" i="9"/>
  <c r="G23" i="9"/>
  <c r="F24" i="9"/>
  <c r="F34" i="9" s="1"/>
  <c r="J1" i="10" l="1"/>
  <c r="I2" i="10"/>
  <c r="H23" i="9"/>
  <c r="G24" i="9"/>
  <c r="G34" i="9" s="1"/>
  <c r="F27" i="9"/>
  <c r="G26" i="9"/>
  <c r="G29" i="9"/>
  <c r="F33" i="9"/>
  <c r="F35" i="9" s="1"/>
  <c r="F39" i="9" s="1"/>
  <c r="J2" i="10" l="1"/>
  <c r="K1" i="10"/>
  <c r="H29" i="9"/>
  <c r="G27" i="9"/>
  <c r="G33" i="9" s="1"/>
  <c r="G35" i="9" s="1"/>
  <c r="G39" i="9" s="1"/>
  <c r="H26" i="9"/>
  <c r="H24" i="9"/>
  <c r="H34" i="9" s="1"/>
  <c r="I23" i="9"/>
  <c r="L1" i="10" l="1"/>
  <c r="K2" i="10"/>
  <c r="J23" i="9"/>
  <c r="I24" i="9"/>
  <c r="I34" i="9" s="1"/>
  <c r="H27" i="9"/>
  <c r="I26" i="9"/>
  <c r="I29" i="9"/>
  <c r="H33" i="9"/>
  <c r="H35" i="9" s="1"/>
  <c r="H39" i="9" s="1"/>
  <c r="L2" i="10" l="1"/>
  <c r="M1" i="10"/>
  <c r="J29" i="9"/>
  <c r="J26" i="9"/>
  <c r="I27" i="9"/>
  <c r="I33" i="9" s="1"/>
  <c r="I35" i="9" s="1"/>
  <c r="I39" i="9" s="1"/>
  <c r="J24" i="9"/>
  <c r="J34" i="9" s="1"/>
  <c r="K23" i="9"/>
  <c r="M2" i="10" l="1"/>
  <c r="N1" i="10"/>
  <c r="L23" i="9"/>
  <c r="K24" i="9"/>
  <c r="K34" i="9" s="1"/>
  <c r="J27" i="9"/>
  <c r="K26" i="9"/>
  <c r="J33" i="9"/>
  <c r="J35" i="9" s="1"/>
  <c r="J39" i="9" s="1"/>
  <c r="K29" i="9"/>
  <c r="O1" i="10" l="1"/>
  <c r="N2" i="10"/>
  <c r="L29" i="9"/>
  <c r="K27" i="9"/>
  <c r="K33" i="9" s="1"/>
  <c r="K35" i="9" s="1"/>
  <c r="K39" i="9" s="1"/>
  <c r="L26" i="9"/>
  <c r="M23" i="9"/>
  <c r="L24" i="9"/>
  <c r="L34" i="9" s="1"/>
  <c r="P1" i="10" l="1"/>
  <c r="O2" i="10"/>
  <c r="N23" i="9"/>
  <c r="M24" i="9"/>
  <c r="M34" i="9" s="1"/>
  <c r="M26" i="9"/>
  <c r="L27" i="9"/>
  <c r="L33" i="9" s="1"/>
  <c r="L35" i="9" s="1"/>
  <c r="L39" i="9" s="1"/>
  <c r="M29" i="9"/>
  <c r="P2" i="10" l="1"/>
  <c r="Q1" i="10"/>
  <c r="N29" i="9"/>
  <c r="M27" i="9"/>
  <c r="M33" i="9" s="1"/>
  <c r="M35" i="9" s="1"/>
  <c r="M39" i="9" s="1"/>
  <c r="N26" i="9"/>
  <c r="O23" i="9"/>
  <c r="N24" i="9"/>
  <c r="N34" i="9" s="1"/>
  <c r="R1" i="10" l="1"/>
  <c r="Q2" i="10"/>
  <c r="P23" i="9"/>
  <c r="O24" i="9"/>
  <c r="O34" i="9" s="1"/>
  <c r="O26" i="9"/>
  <c r="N27" i="9"/>
  <c r="N33" i="9"/>
  <c r="N35" i="9" s="1"/>
  <c r="N39" i="9" s="1"/>
  <c r="O29" i="9"/>
  <c r="S1" i="10" l="1"/>
  <c r="R2" i="10"/>
  <c r="P29" i="9"/>
  <c r="P26" i="9"/>
  <c r="O27" i="9"/>
  <c r="O33" i="9" s="1"/>
  <c r="O35" i="9" s="1"/>
  <c r="O39" i="9" s="1"/>
  <c r="P24" i="9"/>
  <c r="P34" i="9" s="1"/>
  <c r="Q23" i="9"/>
  <c r="S2" i="10" l="1"/>
  <c r="T1" i="10"/>
  <c r="Q24" i="9"/>
  <c r="Q34" i="9" s="1"/>
  <c r="R23" i="9"/>
  <c r="Q26" i="9"/>
  <c r="P27" i="9"/>
  <c r="P33" i="9"/>
  <c r="P35" i="9" s="1"/>
  <c r="P39" i="9" s="1"/>
  <c r="Q29" i="9"/>
  <c r="U1" i="10" l="1"/>
  <c r="T2" i="10"/>
  <c r="R29" i="9"/>
  <c r="R26" i="9"/>
  <c r="Q27" i="9"/>
  <c r="Q33" i="9" s="1"/>
  <c r="Q35" i="9" s="1"/>
  <c r="Q39" i="9" s="1"/>
  <c r="S23" i="9"/>
  <c r="R24" i="9"/>
  <c r="R34" i="9" s="1"/>
  <c r="U2" i="10" l="1"/>
  <c r="V1" i="10"/>
  <c r="S24" i="9"/>
  <c r="S34" i="9" s="1"/>
  <c r="T23" i="9"/>
  <c r="S26" i="9"/>
  <c r="R27" i="9"/>
  <c r="R33" i="9"/>
  <c r="R35" i="9" s="1"/>
  <c r="R39" i="9" s="1"/>
  <c r="S29" i="9"/>
  <c r="W1" i="10" l="1"/>
  <c r="V2" i="10"/>
  <c r="T29" i="9"/>
  <c r="T26" i="9"/>
  <c r="S27" i="9"/>
  <c r="S33" i="9" s="1"/>
  <c r="S35" i="9" s="1"/>
  <c r="S39" i="9" s="1"/>
  <c r="T24" i="9"/>
  <c r="T34" i="9" s="1"/>
  <c r="U23" i="9"/>
  <c r="W2" i="10" l="1"/>
  <c r="X1" i="10"/>
  <c r="V23" i="9"/>
  <c r="U24" i="9"/>
  <c r="U34" i="9" s="1"/>
  <c r="U26" i="9"/>
  <c r="T27" i="9"/>
  <c r="U29" i="9"/>
  <c r="T33" i="9"/>
  <c r="T35" i="9" s="1"/>
  <c r="T39" i="9" s="1"/>
  <c r="X2" i="10" l="1"/>
  <c r="Y1" i="10"/>
  <c r="U27" i="9"/>
  <c r="V26" i="9"/>
  <c r="U33" i="9"/>
  <c r="U35" i="9" s="1"/>
  <c r="U39" i="9" s="1"/>
  <c r="V29" i="9"/>
  <c r="W23" i="9"/>
  <c r="V24" i="9"/>
  <c r="V34" i="9" s="1"/>
  <c r="Y2" i="10" l="1"/>
  <c r="Z1" i="10"/>
  <c r="X23" i="9"/>
  <c r="W24" i="9"/>
  <c r="W34" i="9" s="1"/>
  <c r="W29" i="9"/>
  <c r="V27" i="9"/>
  <c r="V33" i="9" s="1"/>
  <c r="V35" i="9" s="1"/>
  <c r="V39" i="9" s="1"/>
  <c r="W26" i="9"/>
  <c r="AA1" i="10" l="1"/>
  <c r="Z2" i="10"/>
  <c r="W27" i="9"/>
  <c r="X26" i="9"/>
  <c r="X29" i="9"/>
  <c r="W33" i="9"/>
  <c r="W35" i="9" s="1"/>
  <c r="W39" i="9" s="1"/>
  <c r="X24" i="9"/>
  <c r="X34" i="9" s="1"/>
  <c r="Y23" i="9"/>
  <c r="AB1" i="10" l="1"/>
  <c r="AA2" i="10"/>
  <c r="Y29" i="9"/>
  <c r="X27" i="9"/>
  <c r="X33" i="9" s="1"/>
  <c r="X35" i="9" s="1"/>
  <c r="X39" i="9" s="1"/>
  <c r="Y26" i="9"/>
  <c r="Y24" i="9"/>
  <c r="Y34" i="9" s="1"/>
  <c r="Z23" i="9"/>
  <c r="AC1" i="10" l="1"/>
  <c r="AB2" i="10"/>
  <c r="AA23" i="9"/>
  <c r="Z24" i="9"/>
  <c r="Z34" i="9" s="1"/>
  <c r="Y27" i="9"/>
  <c r="Z26" i="9"/>
  <c r="Y33" i="9"/>
  <c r="Y35" i="9" s="1"/>
  <c r="Y39" i="9" s="1"/>
  <c r="Z29" i="9"/>
  <c r="AD1" i="10" l="1"/>
  <c r="AC2" i="10"/>
  <c r="AA29" i="9"/>
  <c r="AA26" i="9"/>
  <c r="Z27" i="9"/>
  <c r="Z33" i="9" s="1"/>
  <c r="Z35" i="9" s="1"/>
  <c r="Z39" i="9" s="1"/>
  <c r="AA24" i="9"/>
  <c r="AA34" i="9" s="1"/>
  <c r="AB23" i="9"/>
  <c r="AE1" i="10" l="1"/>
  <c r="AD2" i="10"/>
  <c r="AC23" i="9"/>
  <c r="AB24" i="9"/>
  <c r="AB34" i="9" s="1"/>
  <c r="AA27" i="9"/>
  <c r="AB26" i="9"/>
  <c r="AA33" i="9"/>
  <c r="AA35" i="9" s="1"/>
  <c r="AA39" i="9" s="1"/>
  <c r="AB29" i="9"/>
  <c r="AF1" i="10" l="1"/>
  <c r="AE2" i="10"/>
  <c r="AC24" i="9"/>
  <c r="AC34" i="9" s="1"/>
  <c r="AD23" i="9"/>
  <c r="AC29" i="9"/>
  <c r="AC26" i="9"/>
  <c r="AB27" i="9"/>
  <c r="AB33" i="9" s="1"/>
  <c r="AB35" i="9" s="1"/>
  <c r="AB39" i="9" s="1"/>
  <c r="AG1" i="10" l="1"/>
  <c r="AG2" i="10" s="1"/>
  <c r="AF2" i="10"/>
  <c r="AC27" i="9"/>
  <c r="AD26" i="9"/>
  <c r="AC33" i="9"/>
  <c r="AC35" i="9" s="1"/>
  <c r="AC39" i="9" s="1"/>
  <c r="AD29" i="9"/>
  <c r="AD24" i="9"/>
  <c r="AD34" i="9" s="1"/>
  <c r="AE23" i="9"/>
  <c r="B3" i="10" l="1"/>
  <c r="B4" i="10" s="1"/>
  <c r="AF23" i="9"/>
  <c r="AE24" i="9"/>
  <c r="AE34" i="9" s="1"/>
  <c r="AE29" i="9"/>
  <c r="AD27" i="9"/>
  <c r="AD33" i="9" s="1"/>
  <c r="AD35" i="9" s="1"/>
  <c r="AD39" i="9" s="1"/>
  <c r="AE26" i="9"/>
  <c r="AF24" i="9" l="1"/>
  <c r="AF34" i="9" s="1"/>
  <c r="AG23" i="9"/>
  <c r="AG24" i="9" s="1"/>
  <c r="AG34" i="9" s="1"/>
  <c r="AF26" i="9"/>
  <c r="AE27" i="9"/>
  <c r="AF29" i="9"/>
  <c r="AE33" i="9"/>
  <c r="AE35" i="9" s="1"/>
  <c r="AE39" i="9" s="1"/>
  <c r="AG29" i="9" l="1"/>
  <c r="AG26" i="9"/>
  <c r="AG27" i="9" s="1"/>
  <c r="AF27" i="9"/>
  <c r="AF33" i="9" s="1"/>
  <c r="AF35" i="9" s="1"/>
  <c r="AF39" i="9" s="1"/>
  <c r="AG33" i="9" l="1"/>
  <c r="AG35" i="9" s="1"/>
  <c r="AG39" i="9" s="1"/>
  <c r="C41" i="9" l="1"/>
  <c r="C40" i="9"/>
  <c r="C19" i="1" l="1"/>
  <c r="C9" i="8"/>
  <c r="C14" i="1"/>
  <c r="D29" i="8"/>
  <c r="D32" i="8"/>
  <c r="E32" i="8" s="1"/>
  <c r="F32" i="8" s="1"/>
  <c r="G32" i="8" s="1"/>
  <c r="H32" i="8" s="1"/>
  <c r="I32" i="8" s="1"/>
  <c r="J32" i="8" s="1"/>
  <c r="K32" i="8" s="1"/>
  <c r="L32" i="8" s="1"/>
  <c r="M32" i="8" s="1"/>
  <c r="N32" i="8" s="1"/>
  <c r="O32" i="8" s="1"/>
  <c r="P32" i="8" s="1"/>
  <c r="Q32" i="8" s="1"/>
  <c r="R32" i="8" s="1"/>
  <c r="S32" i="8" s="1"/>
  <c r="T32" i="8" s="1"/>
  <c r="U32" i="8" s="1"/>
  <c r="V32" i="8" s="1"/>
  <c r="W32" i="8" s="1"/>
  <c r="X32" i="8" s="1"/>
  <c r="Y32" i="8" s="1"/>
  <c r="Z32" i="8" s="1"/>
  <c r="AA32" i="8" s="1"/>
  <c r="AB32" i="8" s="1"/>
  <c r="AC32" i="8" s="1"/>
  <c r="AD32" i="8" s="1"/>
  <c r="AE32" i="8" s="1"/>
  <c r="AF32" i="8" s="1"/>
  <c r="AG32" i="8" s="1"/>
  <c r="D23" i="8"/>
  <c r="E23" i="8" s="1"/>
  <c r="C13" i="8"/>
  <c r="C14" i="8" s="1"/>
  <c r="D26" i="8" s="1"/>
  <c r="I5" i="8"/>
  <c r="H5" i="8"/>
  <c r="K4" i="8"/>
  <c r="J4" i="8"/>
  <c r="C6" i="8" s="1"/>
  <c r="D34" i="8" s="1"/>
  <c r="I4" i="8"/>
  <c r="H4" i="8"/>
  <c r="C3" i="8"/>
  <c r="C5" i="8" s="1"/>
  <c r="C37" i="8" s="1"/>
  <c r="C13" i="1"/>
  <c r="C5" i="6"/>
  <c r="B5" i="6"/>
  <c r="E4" i="6"/>
  <c r="D4" i="6"/>
  <c r="C4" i="6"/>
  <c r="B4" i="6"/>
  <c r="C6" i="1"/>
  <c r="D34" i="1" s="1"/>
  <c r="C3" i="1"/>
  <c r="C5" i="1" s="1"/>
  <c r="C37" i="1" s="1"/>
  <c r="K4" i="1"/>
  <c r="J4" i="1"/>
  <c r="I5" i="1"/>
  <c r="I4" i="1"/>
  <c r="H5" i="1"/>
  <c r="H4" i="1"/>
  <c r="C9" i="1"/>
  <c r="B1" i="2"/>
  <c r="E1" i="2"/>
  <c r="F1" i="2" s="1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D32" i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AD32" i="1" s="1"/>
  <c r="AE32" i="1" s="1"/>
  <c r="AF32" i="1" s="1"/>
  <c r="AG32" i="1" s="1"/>
  <c r="D29" i="1"/>
  <c r="E29" i="1" s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V29" i="1" s="1"/>
  <c r="W29" i="1" s="1"/>
  <c r="X29" i="1" s="1"/>
  <c r="Y29" i="1" s="1"/>
  <c r="Z29" i="1" s="1"/>
  <c r="AA29" i="1" s="1"/>
  <c r="AB29" i="1" s="1"/>
  <c r="AC29" i="1" s="1"/>
  <c r="AD29" i="1" s="1"/>
  <c r="AE29" i="1" s="1"/>
  <c r="AF29" i="1" s="1"/>
  <c r="AG29" i="1" s="1"/>
  <c r="D23" i="1"/>
  <c r="E23" i="1" s="1"/>
  <c r="D26" i="1"/>
  <c r="D27" i="1" s="1"/>
  <c r="F23" i="8" l="1"/>
  <c r="E24" i="8"/>
  <c r="E34" i="8" s="1"/>
  <c r="D33" i="8"/>
  <c r="D35" i="8" s="1"/>
  <c r="E29" i="8"/>
  <c r="D27" i="8"/>
  <c r="E26" i="8"/>
  <c r="C39" i="8"/>
  <c r="D33" i="1"/>
  <c r="D35" i="1" s="1"/>
  <c r="D2" i="2"/>
  <c r="B2" i="2"/>
  <c r="C39" i="1"/>
  <c r="E24" i="1"/>
  <c r="E34" i="1" s="1"/>
  <c r="F23" i="1"/>
  <c r="E26" i="1"/>
  <c r="E27" i="1" s="1"/>
  <c r="E2" i="2" s="1"/>
  <c r="G23" i="8" l="1"/>
  <c r="F24" i="8"/>
  <c r="F34" i="8" s="1"/>
  <c r="D39" i="8"/>
  <c r="D43" i="8"/>
  <c r="F29" i="8"/>
  <c r="F26" i="8"/>
  <c r="E27" i="8"/>
  <c r="E33" i="8" s="1"/>
  <c r="E35" i="8" s="1"/>
  <c r="D39" i="1"/>
  <c r="F24" i="1"/>
  <c r="F34" i="1" s="1"/>
  <c r="G23" i="1"/>
  <c r="E33" i="1"/>
  <c r="E35" i="1" s="1"/>
  <c r="F26" i="1"/>
  <c r="F27" i="1" s="1"/>
  <c r="F2" i="2" s="1"/>
  <c r="G24" i="8" l="1"/>
  <c r="G34" i="8" s="1"/>
  <c r="H23" i="8"/>
  <c r="G29" i="8"/>
  <c r="E39" i="8"/>
  <c r="E43" i="8"/>
  <c r="G26" i="8"/>
  <c r="F27" i="8"/>
  <c r="F33" i="8" s="1"/>
  <c r="F35" i="8" s="1"/>
  <c r="E39" i="1"/>
  <c r="G24" i="1"/>
  <c r="G34" i="1" s="1"/>
  <c r="H23" i="1"/>
  <c r="G26" i="1"/>
  <c r="G27" i="1" s="1"/>
  <c r="G2" i="2" s="1"/>
  <c r="F33" i="1"/>
  <c r="F35" i="1" s="1"/>
  <c r="I23" i="8" l="1"/>
  <c r="H24" i="8"/>
  <c r="H34" i="8" s="1"/>
  <c r="F39" i="8"/>
  <c r="F43" i="8"/>
  <c r="H29" i="8"/>
  <c r="G27" i="8"/>
  <c r="G33" i="8" s="1"/>
  <c r="G35" i="8" s="1"/>
  <c r="H26" i="8"/>
  <c r="F39" i="1"/>
  <c r="H24" i="1"/>
  <c r="H34" i="1" s="1"/>
  <c r="I23" i="1"/>
  <c r="H26" i="1"/>
  <c r="H27" i="1" s="1"/>
  <c r="H2" i="2" s="1"/>
  <c r="G33" i="1"/>
  <c r="G35" i="1" s="1"/>
  <c r="I24" i="8" l="1"/>
  <c r="I34" i="8" s="1"/>
  <c r="J23" i="8"/>
  <c r="I29" i="8"/>
  <c r="G43" i="8"/>
  <c r="G39" i="8"/>
  <c r="H27" i="8"/>
  <c r="H33" i="8" s="1"/>
  <c r="H35" i="8" s="1"/>
  <c r="I26" i="8"/>
  <c r="G39" i="1"/>
  <c r="J23" i="1"/>
  <c r="I24" i="1"/>
  <c r="I34" i="1" s="1"/>
  <c r="I26" i="1"/>
  <c r="I27" i="1" s="1"/>
  <c r="I2" i="2" s="1"/>
  <c r="H33" i="1"/>
  <c r="H35" i="1" s="1"/>
  <c r="K23" i="8" l="1"/>
  <c r="J24" i="8"/>
  <c r="J34" i="8" s="1"/>
  <c r="I33" i="8"/>
  <c r="I35" i="8" s="1"/>
  <c r="J29" i="8"/>
  <c r="H39" i="8"/>
  <c r="H43" i="8"/>
  <c r="J26" i="8"/>
  <c r="I27" i="8"/>
  <c r="H39" i="1"/>
  <c r="K23" i="1"/>
  <c r="J24" i="1"/>
  <c r="J34" i="1" s="1"/>
  <c r="J26" i="1"/>
  <c r="J27" i="1" s="1"/>
  <c r="J2" i="2" s="1"/>
  <c r="I33" i="1"/>
  <c r="I35" i="1" s="1"/>
  <c r="L23" i="8" l="1"/>
  <c r="K24" i="8"/>
  <c r="K34" i="8" s="1"/>
  <c r="I43" i="8"/>
  <c r="I39" i="8"/>
  <c r="K29" i="8"/>
  <c r="K26" i="8"/>
  <c r="J27" i="8"/>
  <c r="J33" i="8" s="1"/>
  <c r="J35" i="8" s="1"/>
  <c r="I39" i="1"/>
  <c r="K24" i="1"/>
  <c r="K34" i="1" s="1"/>
  <c r="L23" i="1"/>
  <c r="K26" i="1"/>
  <c r="K27" i="1" s="1"/>
  <c r="K2" i="2" s="1"/>
  <c r="J33" i="1"/>
  <c r="J35" i="1" s="1"/>
  <c r="M23" i="8" l="1"/>
  <c r="L24" i="8"/>
  <c r="L34" i="8" s="1"/>
  <c r="L29" i="8"/>
  <c r="J43" i="8"/>
  <c r="J39" i="8"/>
  <c r="K27" i="8"/>
  <c r="K33" i="8" s="1"/>
  <c r="K35" i="8" s="1"/>
  <c r="L26" i="8"/>
  <c r="J39" i="1"/>
  <c r="M23" i="1"/>
  <c r="L24" i="1"/>
  <c r="L34" i="1" s="1"/>
  <c r="L26" i="1"/>
  <c r="L27" i="1" s="1"/>
  <c r="L2" i="2" s="1"/>
  <c r="K33" i="1"/>
  <c r="K35" i="1" s="1"/>
  <c r="N23" i="8" l="1"/>
  <c r="M24" i="8"/>
  <c r="M34" i="8" s="1"/>
  <c r="M29" i="8"/>
  <c r="K39" i="8"/>
  <c r="K43" i="8"/>
  <c r="L27" i="8"/>
  <c r="L33" i="8" s="1"/>
  <c r="L35" i="8" s="1"/>
  <c r="M26" i="8"/>
  <c r="K39" i="1"/>
  <c r="N23" i="1"/>
  <c r="M24" i="1"/>
  <c r="M34" i="1" s="1"/>
  <c r="M26" i="1"/>
  <c r="M27" i="1" s="1"/>
  <c r="M2" i="2" s="1"/>
  <c r="L33" i="1"/>
  <c r="L35" i="1" s="1"/>
  <c r="N24" i="8" l="1"/>
  <c r="N34" i="8" s="1"/>
  <c r="O23" i="8"/>
  <c r="N29" i="8"/>
  <c r="L43" i="8"/>
  <c r="L39" i="8"/>
  <c r="M27" i="8"/>
  <c r="M33" i="8" s="1"/>
  <c r="M35" i="8" s="1"/>
  <c r="N26" i="8"/>
  <c r="L39" i="1"/>
  <c r="O23" i="1"/>
  <c r="N24" i="1"/>
  <c r="N34" i="1" s="1"/>
  <c r="N26" i="1"/>
  <c r="N27" i="1" s="1"/>
  <c r="N2" i="2" s="1"/>
  <c r="M33" i="1"/>
  <c r="M35" i="1" s="1"/>
  <c r="P23" i="8" l="1"/>
  <c r="O24" i="8"/>
  <c r="O34" i="8" s="1"/>
  <c r="M43" i="8"/>
  <c r="M39" i="8"/>
  <c r="O29" i="8"/>
  <c r="N27" i="8"/>
  <c r="N33" i="8" s="1"/>
  <c r="N35" i="8" s="1"/>
  <c r="O26" i="8"/>
  <c r="M39" i="1"/>
  <c r="P23" i="1"/>
  <c r="O24" i="1"/>
  <c r="O34" i="1" s="1"/>
  <c r="O26" i="1"/>
  <c r="O27" i="1" s="1"/>
  <c r="O2" i="2" s="1"/>
  <c r="N33" i="1"/>
  <c r="N35" i="1" s="1"/>
  <c r="Q23" i="8" l="1"/>
  <c r="P24" i="8"/>
  <c r="P34" i="8" s="1"/>
  <c r="N39" i="8"/>
  <c r="N43" i="8"/>
  <c r="P29" i="8"/>
  <c r="O27" i="8"/>
  <c r="O33" i="8" s="1"/>
  <c r="O35" i="8" s="1"/>
  <c r="P26" i="8"/>
  <c r="N39" i="1"/>
  <c r="P24" i="1"/>
  <c r="P34" i="1" s="1"/>
  <c r="Q23" i="1"/>
  <c r="P26" i="1"/>
  <c r="P27" i="1" s="1"/>
  <c r="P2" i="2" s="1"/>
  <c r="O33" i="1"/>
  <c r="O35" i="1" s="1"/>
  <c r="R23" i="8" l="1"/>
  <c r="Q24" i="8"/>
  <c r="Q34" i="8" s="1"/>
  <c r="Q29" i="8"/>
  <c r="O43" i="8"/>
  <c r="O39" i="8"/>
  <c r="P27" i="8"/>
  <c r="P33" i="8" s="1"/>
  <c r="P35" i="8" s="1"/>
  <c r="Q26" i="8"/>
  <c r="O39" i="1"/>
  <c r="R23" i="1"/>
  <c r="Q24" i="1"/>
  <c r="Q34" i="1" s="1"/>
  <c r="Q26" i="1"/>
  <c r="Q27" i="1" s="1"/>
  <c r="Q2" i="2" s="1"/>
  <c r="P33" i="1"/>
  <c r="P35" i="1" s="1"/>
  <c r="S23" i="8" l="1"/>
  <c r="R24" i="8"/>
  <c r="R34" i="8" s="1"/>
  <c r="P43" i="8"/>
  <c r="P39" i="8"/>
  <c r="R29" i="8"/>
  <c r="R26" i="8"/>
  <c r="Q27" i="8"/>
  <c r="Q33" i="8" s="1"/>
  <c r="Q35" i="8" s="1"/>
  <c r="P39" i="1"/>
  <c r="S23" i="1"/>
  <c r="R24" i="1"/>
  <c r="R34" i="1" s="1"/>
  <c r="R26" i="1"/>
  <c r="R27" i="1" s="1"/>
  <c r="R2" i="2" s="1"/>
  <c r="Q33" i="1"/>
  <c r="Q35" i="1" s="1"/>
  <c r="T23" i="8" l="1"/>
  <c r="S24" i="8"/>
  <c r="S34" i="8" s="1"/>
  <c r="S29" i="8"/>
  <c r="Q39" i="8"/>
  <c r="Q43" i="8"/>
  <c r="S26" i="8"/>
  <c r="R27" i="8"/>
  <c r="R33" i="8" s="1"/>
  <c r="R35" i="8" s="1"/>
  <c r="Q39" i="1"/>
  <c r="S24" i="1"/>
  <c r="S34" i="1" s="1"/>
  <c r="T23" i="1"/>
  <c r="S26" i="1"/>
  <c r="S27" i="1" s="1"/>
  <c r="S2" i="2" s="1"/>
  <c r="R33" i="1"/>
  <c r="R35" i="1" s="1"/>
  <c r="U23" i="8" l="1"/>
  <c r="T24" i="8"/>
  <c r="T34" i="8" s="1"/>
  <c r="R43" i="8"/>
  <c r="R39" i="8"/>
  <c r="T29" i="8"/>
  <c r="T26" i="8"/>
  <c r="S27" i="8"/>
  <c r="S33" i="8" s="1"/>
  <c r="S35" i="8" s="1"/>
  <c r="R39" i="1"/>
  <c r="U23" i="1"/>
  <c r="T24" i="1"/>
  <c r="T34" i="1" s="1"/>
  <c r="T26" i="1"/>
  <c r="T27" i="1" s="1"/>
  <c r="T2" i="2" s="1"/>
  <c r="S33" i="1"/>
  <c r="S35" i="1" s="1"/>
  <c r="V23" i="8" l="1"/>
  <c r="U24" i="8"/>
  <c r="U34" i="8" s="1"/>
  <c r="S43" i="8"/>
  <c r="S39" i="8"/>
  <c r="U29" i="8"/>
  <c r="T27" i="8"/>
  <c r="T33" i="8" s="1"/>
  <c r="T35" i="8" s="1"/>
  <c r="U26" i="8"/>
  <c r="S39" i="1"/>
  <c r="V23" i="1"/>
  <c r="U24" i="1"/>
  <c r="U34" i="1" s="1"/>
  <c r="U26" i="1"/>
  <c r="U27" i="1" s="1"/>
  <c r="U2" i="2" s="1"/>
  <c r="T33" i="1"/>
  <c r="T35" i="1" s="1"/>
  <c r="V24" i="8" l="1"/>
  <c r="V34" i="8" s="1"/>
  <c r="W23" i="8"/>
  <c r="T39" i="8"/>
  <c r="T43" i="8"/>
  <c r="V29" i="8"/>
  <c r="V26" i="8"/>
  <c r="U27" i="8"/>
  <c r="U33" i="8" s="1"/>
  <c r="U35" i="8" s="1"/>
  <c r="T39" i="1"/>
  <c r="W23" i="1"/>
  <c r="V24" i="1"/>
  <c r="V34" i="1" s="1"/>
  <c r="V26" i="1"/>
  <c r="V27" i="1" s="1"/>
  <c r="V2" i="2" s="1"/>
  <c r="U33" i="1"/>
  <c r="U35" i="1" s="1"/>
  <c r="W24" i="8" l="1"/>
  <c r="W34" i="8" s="1"/>
  <c r="X23" i="8"/>
  <c r="W29" i="8"/>
  <c r="U43" i="8"/>
  <c r="U39" i="8"/>
  <c r="W26" i="8"/>
  <c r="V27" i="8"/>
  <c r="V33" i="8" s="1"/>
  <c r="V35" i="8" s="1"/>
  <c r="U39" i="1"/>
  <c r="X23" i="1"/>
  <c r="W24" i="1"/>
  <c r="W34" i="1" s="1"/>
  <c r="W26" i="1"/>
  <c r="W27" i="1" s="1"/>
  <c r="W2" i="2" s="1"/>
  <c r="V33" i="1"/>
  <c r="V35" i="1" s="1"/>
  <c r="Y23" i="8" l="1"/>
  <c r="X24" i="8"/>
  <c r="X34" i="8" s="1"/>
  <c r="X29" i="8"/>
  <c r="V43" i="8"/>
  <c r="V39" i="8"/>
  <c r="W27" i="8"/>
  <c r="W33" i="8" s="1"/>
  <c r="W35" i="8" s="1"/>
  <c r="X26" i="8"/>
  <c r="V39" i="1"/>
  <c r="Y23" i="1"/>
  <c r="X24" i="1"/>
  <c r="X34" i="1" s="1"/>
  <c r="X26" i="1"/>
  <c r="X27" i="1" s="1"/>
  <c r="X2" i="2" s="1"/>
  <c r="W33" i="1"/>
  <c r="W35" i="1" s="1"/>
  <c r="Z23" i="8" l="1"/>
  <c r="Y24" i="8"/>
  <c r="Y34" i="8" s="1"/>
  <c r="Y29" i="8"/>
  <c r="W39" i="8"/>
  <c r="W43" i="8"/>
  <c r="Y26" i="8"/>
  <c r="X27" i="8"/>
  <c r="X33" i="8" s="1"/>
  <c r="X35" i="8" s="1"/>
  <c r="W39" i="1"/>
  <c r="Z23" i="1"/>
  <c r="Y24" i="1"/>
  <c r="Y34" i="1" s="1"/>
  <c r="Y26" i="1"/>
  <c r="Y27" i="1" s="1"/>
  <c r="Y2" i="2" s="1"/>
  <c r="X33" i="1"/>
  <c r="X35" i="1" s="1"/>
  <c r="AA23" i="8" l="1"/>
  <c r="Z24" i="8"/>
  <c r="Z34" i="8" s="1"/>
  <c r="X43" i="8"/>
  <c r="X39" i="8"/>
  <c r="Z29" i="8"/>
  <c r="Y27" i="8"/>
  <c r="Y33" i="8" s="1"/>
  <c r="Y35" i="8" s="1"/>
  <c r="Z26" i="8"/>
  <c r="X39" i="1"/>
  <c r="AA23" i="1"/>
  <c r="Z24" i="1"/>
  <c r="Z34" i="1" s="1"/>
  <c r="Z26" i="1"/>
  <c r="Z27" i="1" s="1"/>
  <c r="Z2" i="2" s="1"/>
  <c r="Y33" i="1"/>
  <c r="Y35" i="1" s="1"/>
  <c r="AA24" i="8" l="1"/>
  <c r="AA34" i="8" s="1"/>
  <c r="AB23" i="8"/>
  <c r="Y39" i="8"/>
  <c r="Y43" i="8"/>
  <c r="AA29" i="8"/>
  <c r="Z27" i="8"/>
  <c r="Z33" i="8" s="1"/>
  <c r="Z35" i="8" s="1"/>
  <c r="AA26" i="8"/>
  <c r="Y39" i="1"/>
  <c r="AB23" i="1"/>
  <c r="AA24" i="1"/>
  <c r="AA34" i="1" s="1"/>
  <c r="AA26" i="1"/>
  <c r="AA27" i="1" s="1"/>
  <c r="AA2" i="2" s="1"/>
  <c r="Z33" i="1"/>
  <c r="Z35" i="1" s="1"/>
  <c r="AC23" i="8" l="1"/>
  <c r="AB24" i="8"/>
  <c r="AB34" i="8" s="1"/>
  <c r="Z39" i="8"/>
  <c r="Z43" i="8"/>
  <c r="AB29" i="8"/>
  <c r="AA27" i="8"/>
  <c r="AA33" i="8" s="1"/>
  <c r="AA35" i="8" s="1"/>
  <c r="AB26" i="8"/>
  <c r="Z39" i="1"/>
  <c r="AC23" i="1"/>
  <c r="AB24" i="1"/>
  <c r="AB34" i="1" s="1"/>
  <c r="AB26" i="1"/>
  <c r="AB27" i="1" s="1"/>
  <c r="AB2" i="2" s="1"/>
  <c r="AA33" i="1"/>
  <c r="AA35" i="1" s="1"/>
  <c r="AD23" i="8" l="1"/>
  <c r="AC24" i="8"/>
  <c r="AC34" i="8" s="1"/>
  <c r="AA43" i="8"/>
  <c r="AA39" i="8"/>
  <c r="AC29" i="8"/>
  <c r="AB27" i="8"/>
  <c r="AB33" i="8" s="1"/>
  <c r="AB35" i="8" s="1"/>
  <c r="AC26" i="8"/>
  <c r="AA39" i="1"/>
  <c r="AC24" i="1"/>
  <c r="AC34" i="1" s="1"/>
  <c r="AD23" i="1"/>
  <c r="AC26" i="1"/>
  <c r="AC27" i="1" s="1"/>
  <c r="AC2" i="2" s="1"/>
  <c r="AB33" i="1"/>
  <c r="AB35" i="1" s="1"/>
  <c r="AE23" i="8" l="1"/>
  <c r="AD24" i="8"/>
  <c r="AD34" i="8" s="1"/>
  <c r="AB43" i="8"/>
  <c r="AB39" i="8"/>
  <c r="AD29" i="8"/>
  <c r="AC27" i="8"/>
  <c r="AC33" i="8" s="1"/>
  <c r="AC35" i="8" s="1"/>
  <c r="AD26" i="8"/>
  <c r="AB39" i="1"/>
  <c r="AD24" i="1"/>
  <c r="AD34" i="1" s="1"/>
  <c r="AE23" i="1"/>
  <c r="AD26" i="1"/>
  <c r="AD27" i="1" s="1"/>
  <c r="AD2" i="2" s="1"/>
  <c r="AC33" i="1"/>
  <c r="AC35" i="1" s="1"/>
  <c r="AE24" i="8" l="1"/>
  <c r="AE34" i="8" s="1"/>
  <c r="AF23" i="8"/>
  <c r="AC39" i="8"/>
  <c r="AC43" i="8"/>
  <c r="AE29" i="8"/>
  <c r="AE26" i="8"/>
  <c r="AD27" i="8"/>
  <c r="AD33" i="8" s="1"/>
  <c r="AD35" i="8" s="1"/>
  <c r="AC39" i="1"/>
  <c r="AF23" i="1"/>
  <c r="AE24" i="1"/>
  <c r="AE34" i="1" s="1"/>
  <c r="AE26" i="1"/>
  <c r="AE27" i="1" s="1"/>
  <c r="AE2" i="2" s="1"/>
  <c r="AD33" i="1"/>
  <c r="AD35" i="1" s="1"/>
  <c r="AF24" i="8" l="1"/>
  <c r="AF34" i="8" s="1"/>
  <c r="AG23" i="8"/>
  <c r="AG24" i="8" s="1"/>
  <c r="AG34" i="8" s="1"/>
  <c r="AF29" i="8"/>
  <c r="AD43" i="8"/>
  <c r="AD39" i="8"/>
  <c r="AE27" i="8"/>
  <c r="AE33" i="8" s="1"/>
  <c r="AE35" i="8" s="1"/>
  <c r="AF26" i="8"/>
  <c r="AD39" i="1"/>
  <c r="AF24" i="1"/>
  <c r="AF34" i="1" s="1"/>
  <c r="AG23" i="1"/>
  <c r="AG24" i="1" s="1"/>
  <c r="AG34" i="1" s="1"/>
  <c r="AF26" i="1"/>
  <c r="AF27" i="1" s="1"/>
  <c r="AF2" i="2" s="1"/>
  <c r="AE33" i="1"/>
  <c r="AE35" i="1" s="1"/>
  <c r="AG29" i="8" l="1"/>
  <c r="AE39" i="8"/>
  <c r="AE43" i="8"/>
  <c r="AF27" i="8"/>
  <c r="AF33" i="8" s="1"/>
  <c r="AF35" i="8" s="1"/>
  <c r="AG26" i="8"/>
  <c r="AG27" i="8" s="1"/>
  <c r="AE39" i="1"/>
  <c r="AG26" i="1"/>
  <c r="AF33" i="1"/>
  <c r="AF35" i="1" s="1"/>
  <c r="AF39" i="8" l="1"/>
  <c r="AF43" i="8"/>
  <c r="AG33" i="8"/>
  <c r="AG35" i="8" s="1"/>
  <c r="AG27" i="1"/>
  <c r="AF39" i="1"/>
  <c r="AG39" i="8" l="1"/>
  <c r="AG43" i="8"/>
  <c r="C44" i="8" s="1"/>
  <c r="AG33" i="1"/>
  <c r="AG35" i="1" s="1"/>
  <c r="AG2" i="2"/>
  <c r="B3" i="2" s="1"/>
  <c r="B4" i="2" s="1"/>
  <c r="C41" i="8" l="1"/>
  <c r="C40" i="8"/>
  <c r="C50" i="8"/>
  <c r="D45" i="8"/>
  <c r="C55" i="8"/>
  <c r="AG39" i="1"/>
  <c r="C51" i="8" l="1"/>
  <c r="C56" i="8"/>
  <c r="C57" i="8" s="1"/>
  <c r="D46" i="8"/>
  <c r="D47" i="8"/>
  <c r="D48" i="8" s="1"/>
  <c r="E45" i="8" s="1"/>
  <c r="C41" i="1"/>
  <c r="C40" i="1"/>
  <c r="C55" i="1"/>
  <c r="E46" i="8" l="1"/>
  <c r="E47" i="8" s="1"/>
  <c r="E48" i="8" s="1"/>
  <c r="F45" i="8" s="1"/>
  <c r="D51" i="8"/>
  <c r="C56" i="1"/>
  <c r="C57" i="1" s="1"/>
  <c r="F46" i="8" l="1"/>
  <c r="F47" i="8" s="1"/>
  <c r="E51" i="8"/>
  <c r="F51" i="8" l="1"/>
  <c r="F48" i="8"/>
  <c r="G45" i="8" s="1"/>
  <c r="G46" i="8" l="1"/>
  <c r="G47" i="8" s="1"/>
  <c r="G48" i="8" l="1"/>
  <c r="H45" i="8" s="1"/>
  <c r="G51" i="8"/>
  <c r="H46" i="8" l="1"/>
  <c r="H47" i="8" s="1"/>
  <c r="H48" i="8" l="1"/>
  <c r="I45" i="8" s="1"/>
  <c r="H51" i="8"/>
  <c r="I46" i="8" l="1"/>
  <c r="I47" i="8" s="1"/>
  <c r="I48" i="8" l="1"/>
  <c r="J45" i="8" s="1"/>
  <c r="I51" i="8"/>
  <c r="J46" i="8" l="1"/>
  <c r="J47" i="8" s="1"/>
  <c r="J51" i="8" l="1"/>
  <c r="J48" i="8"/>
  <c r="K45" i="8" s="1"/>
  <c r="K46" i="8" l="1"/>
  <c r="K47" i="8" s="1"/>
  <c r="K48" i="8" l="1"/>
  <c r="L45" i="8" s="1"/>
  <c r="K51" i="8"/>
  <c r="L46" i="8" l="1"/>
  <c r="L47" i="8" s="1"/>
  <c r="L48" i="8" l="1"/>
  <c r="M45" i="8" s="1"/>
  <c r="L51" i="8"/>
  <c r="M46" i="8" l="1"/>
  <c r="M47" i="8" s="1"/>
  <c r="M48" i="8" s="1"/>
  <c r="N45" i="8" s="1"/>
  <c r="M51" i="8" l="1"/>
  <c r="N46" i="8"/>
  <c r="N47" i="8" s="1"/>
  <c r="N51" i="8" l="1"/>
  <c r="N48" i="8"/>
  <c r="O45" i="8" s="1"/>
  <c r="O46" i="8" l="1"/>
  <c r="O47" i="8" s="1"/>
  <c r="O48" i="8" l="1"/>
  <c r="P45" i="8" s="1"/>
  <c r="O51" i="8"/>
  <c r="P46" i="8" l="1"/>
  <c r="P47" i="8" s="1"/>
  <c r="P48" i="8" l="1"/>
  <c r="Q45" i="8" s="1"/>
  <c r="P51" i="8"/>
  <c r="Q46" i="8" l="1"/>
  <c r="Q47" i="8" s="1"/>
  <c r="Q48" i="8" l="1"/>
  <c r="R45" i="8" s="1"/>
  <c r="Q51" i="8"/>
  <c r="R46" i="8" l="1"/>
  <c r="R47" i="8" s="1"/>
  <c r="R48" i="8" l="1"/>
  <c r="S45" i="8" s="1"/>
  <c r="R51" i="8"/>
  <c r="S46" i="8" l="1"/>
  <c r="S47" i="8" s="1"/>
  <c r="S48" i="8" s="1"/>
  <c r="T45" i="8" s="1"/>
  <c r="T46" i="8" l="1"/>
  <c r="T47" i="8" s="1"/>
  <c r="S51" i="8"/>
  <c r="T51" i="8" l="1"/>
  <c r="T48" i="8"/>
  <c r="U45" i="8" s="1"/>
  <c r="U46" i="8" l="1"/>
  <c r="U47" i="8" s="1"/>
  <c r="U48" i="8" l="1"/>
  <c r="V45" i="8" s="1"/>
  <c r="U51" i="8"/>
  <c r="V46" i="8" l="1"/>
  <c r="V47" i="8" s="1"/>
  <c r="V48" i="8" l="1"/>
  <c r="W45" i="8" s="1"/>
  <c r="V51" i="8"/>
  <c r="W46" i="8" l="1"/>
  <c r="W47" i="8" s="1"/>
  <c r="W48" i="8" s="1"/>
  <c r="X45" i="8" s="1"/>
  <c r="X46" i="8" l="1"/>
  <c r="X47" i="8" s="1"/>
  <c r="W51" i="8"/>
  <c r="X51" i="8" l="1"/>
  <c r="X48" i="8"/>
  <c r="Y45" i="8" s="1"/>
  <c r="Y46" i="8" l="1"/>
  <c r="Y47" i="8" s="1"/>
  <c r="Y48" i="8" l="1"/>
  <c r="Z45" i="8" s="1"/>
  <c r="Y51" i="8"/>
  <c r="Z46" i="8" l="1"/>
  <c r="Z47" i="8" s="1"/>
  <c r="Z48" i="8" s="1"/>
  <c r="AA45" i="8" s="1"/>
  <c r="AA46" i="8" l="1"/>
  <c r="AA47" i="8" s="1"/>
  <c r="Z51" i="8"/>
  <c r="AA51" i="8" l="1"/>
  <c r="AA48" i="8"/>
  <c r="AB45" i="8" s="1"/>
  <c r="AB46" i="8" l="1"/>
  <c r="AB47" i="8" s="1"/>
  <c r="AB48" i="8" l="1"/>
  <c r="AC45" i="8" s="1"/>
  <c r="AB51" i="8"/>
  <c r="AC46" i="8" l="1"/>
  <c r="AC47" i="8" s="1"/>
  <c r="AC51" i="8" l="1"/>
  <c r="AC48" i="8"/>
  <c r="AD45" i="8" s="1"/>
  <c r="AD46" i="8" l="1"/>
  <c r="AD47" i="8" s="1"/>
  <c r="AD48" i="8" s="1"/>
  <c r="AE45" i="8" s="1"/>
  <c r="AE46" i="8" l="1"/>
  <c r="AE47" i="8" s="1"/>
  <c r="AD51" i="8"/>
  <c r="AE48" i="8" l="1"/>
  <c r="AF45" i="8" s="1"/>
  <c r="AE51" i="8"/>
  <c r="AF46" i="8" l="1"/>
  <c r="AF47" i="8" s="1"/>
  <c r="AF48" i="8" l="1"/>
  <c r="AG45" i="8" s="1"/>
  <c r="AF51" i="8"/>
  <c r="AG46" i="8" l="1"/>
  <c r="AG47" i="8" s="1"/>
  <c r="AG48" i="8" l="1"/>
  <c r="AG51" i="8"/>
  <c r="C52" i="8" l="1"/>
  <c r="C5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320FA480-2B25-1C47-B181-D7809674A18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033DBE33-8EA5-CE45-A23E-6C4669C3CB7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F81B8EAC-14AF-4233-8893-042D33CFB94E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42FB85FF-ACD8-47C8-AE2B-82C1CD8C035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ABAD9726-A945-487B-A256-2818FC1AD197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F743CAF8-4C41-48B1-B769-5022E9FA3617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A8C7F61D-7665-496D-8FB1-199634F3BA12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D967D95E-5D0F-4739-AABC-A8F59D2C86B9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56A8525F-AB24-453F-8AEA-984E185D364C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A720C7E0-CF20-4F9E-9AF8-173296F29F93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9145DDA6-3E21-4433-B5CA-F74FED4B99A7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2CF505BC-51EF-401F-B8DF-140B04D47729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52D4A09A-BE8A-46A4-A80D-A29B6CBBC006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4EB23313-13F7-4BA6-9AA9-34E599D75603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E874BC33-55B6-4F5C-9543-851FB2C14D3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DF8FDC9B-9C62-4E44-88AC-91AE02D74DD8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191906E4-7CB2-41A6-BA07-837911417E21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2231B3ED-4B39-42F6-BBCE-DF5B517A51CA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0A4D9C6C-C327-4E48-A1ED-2C232A1B9207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ED4F9717-E9A3-437F-8024-9A35615BF7DB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E56DE5CF-CE9F-48A9-A936-594C643AFB96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9ED4B096-63D5-4D9A-93FF-FB14F4B73F34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8" authorId="0" shapeId="0" xr:uid="{D0EC6473-38BB-4D80-8507-A5CFFBBFF0C4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https://www.rbnz.govt.nz/monetary-policy/about-monetary-policy/the-official-cash-rate</t>
        </r>
      </text>
    </comment>
    <comment ref="C9" authorId="0" shapeId="0" xr:uid="{A9556BB8-9973-424A-9BE0-F3E32EB492DE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
</t>
        </r>
        <r>
          <rPr>
            <sz val="10"/>
            <color rgb="FF000000"/>
            <rFont val="Aptos Narrow"/>
            <family val="2"/>
            <scheme val="minor"/>
          </rPr>
          <t xml:space="preserve">The lenders agree to a 1% risk premium above the overnight interest rate set by the Reserve Bank. 
</t>
        </r>
      </text>
    </comment>
  </commentList>
</comments>
</file>

<file path=xl/sharedStrings.xml><?xml version="1.0" encoding="utf-8"?>
<sst xmlns="http://schemas.openxmlformats.org/spreadsheetml/2006/main" count="963" uniqueCount="87">
  <si>
    <t>Provided information and assumptions</t>
  </si>
  <si>
    <t>Operational life of asset</t>
  </si>
  <si>
    <t>years</t>
  </si>
  <si>
    <t>%</t>
  </si>
  <si>
    <t xml:space="preserve"> </t>
  </si>
  <si>
    <t>Official Cash Rate (OCR)</t>
  </si>
  <si>
    <t>Interest rate</t>
  </si>
  <si>
    <t>Debt Service Cover Ratio</t>
  </si>
  <si>
    <t>CAPEX</t>
  </si>
  <si>
    <t>OPEX</t>
  </si>
  <si>
    <t>per year</t>
  </si>
  <si>
    <t>in year 0</t>
  </si>
  <si>
    <t>Required CAPEX</t>
  </si>
  <si>
    <t>Annual yield</t>
  </si>
  <si>
    <t>90% of nominal as P50</t>
  </si>
  <si>
    <t>for P50 generation</t>
  </si>
  <si>
    <t>Solar PV degradation</t>
  </si>
  <si>
    <t>% in year 1</t>
  </si>
  <si>
    <t>% after year 1</t>
  </si>
  <si>
    <t>per MWh</t>
  </si>
  <si>
    <t>CPI increase</t>
  </si>
  <si>
    <t>% per year</t>
  </si>
  <si>
    <t>Year</t>
  </si>
  <si>
    <t>Inflation factor</t>
  </si>
  <si>
    <t>Electricity generated</t>
  </si>
  <si>
    <t>Self-consumption</t>
  </si>
  <si>
    <t>% of electricity generated</t>
  </si>
  <si>
    <t>Electricity exported</t>
  </si>
  <si>
    <t>PPA price</t>
  </si>
  <si>
    <t>Dimensions</t>
  </si>
  <si>
    <t>Financial analysis</t>
  </si>
  <si>
    <t>PPA revenue</t>
  </si>
  <si>
    <t>O&amp;M</t>
  </si>
  <si>
    <t>EBITAF</t>
  </si>
  <si>
    <t>Capital expenditure</t>
  </si>
  <si>
    <t>NPV project</t>
  </si>
  <si>
    <t>IRR project</t>
  </si>
  <si>
    <t>Mandatory Debt Service</t>
  </si>
  <si>
    <t>Opening principle</t>
  </si>
  <si>
    <t>Less interest payments</t>
  </si>
  <si>
    <t>Less amortisation</t>
  </si>
  <si>
    <t>Ending principle</t>
  </si>
  <si>
    <t>NPV of debt</t>
  </si>
  <si>
    <t>Sponsor capital (equity)</t>
  </si>
  <si>
    <t>Sponsor cashflow</t>
  </si>
  <si>
    <t>Project cashflow</t>
  </si>
  <si>
    <t>NPV sponsor</t>
  </si>
  <si>
    <t>IRR sponsor</t>
  </si>
  <si>
    <t>Debt</t>
  </si>
  <si>
    <t>Equity</t>
  </si>
  <si>
    <t>Debt/Equity ratio</t>
  </si>
  <si>
    <t>LCOE</t>
  </si>
  <si>
    <t>Cost</t>
  </si>
  <si>
    <t>Energy</t>
  </si>
  <si>
    <t>MWh in year 1</t>
  </si>
  <si>
    <t>Multiplier</t>
  </si>
  <si>
    <t>Present E value</t>
  </si>
  <si>
    <t>https://www.stats.govt.nz/news/annual-inflation-at-3-1-percent-in-december-2025/</t>
  </si>
  <si>
    <t>https://www.rnz.co.nz/news/political/566419/reserve-bank-holds-official-cash-rate-at-3-point-25-percent</t>
  </si>
  <si>
    <t>Bunnythorpe Fixed Tilt</t>
  </si>
  <si>
    <t>WMO</t>
  </si>
  <si>
    <t>WMO growth rate</t>
  </si>
  <si>
    <t>IRENA</t>
  </si>
  <si>
    <t xml:space="preserve">CAPEX subsidy </t>
  </si>
  <si>
    <t>=NPV(C9[=interest rate]/100,D43:AG43[Mandatory Debt Service])</t>
  </si>
  <si>
    <t>=D35[EBITAF]/$C$11[Debt Service Cover Ratio]</t>
  </si>
  <si>
    <t>Size</t>
  </si>
  <si>
    <t>5.0 MW</t>
  </si>
  <si>
    <t>10.0 MW</t>
  </si>
  <si>
    <t>Fixed (NZD/W)</t>
  </si>
  <si>
    <t>Tracking (NZD/W)</t>
  </si>
  <si>
    <t>System</t>
  </si>
  <si>
    <t>Site</t>
  </si>
  <si>
    <t>Energy Yield (kWh/kW)</t>
  </si>
  <si>
    <t>Annual AC Energy (kWh)</t>
  </si>
  <si>
    <t>Annual AC Energy (MWh)</t>
  </si>
  <si>
    <t xml:space="preserve">Fixed tilt </t>
  </si>
  <si>
    <t>Masterton</t>
  </si>
  <si>
    <t>Bunnythorpe</t>
  </si>
  <si>
    <t>Hawera</t>
  </si>
  <si>
    <t>Single axe tracker</t>
  </si>
  <si>
    <t>Whgt price ($/MW)</t>
  </si>
  <si>
    <t>Real pre-tax discount rate or WACC or nominal discount rate?</t>
  </si>
  <si>
    <t>I use WACC or nominal discount rate? because the cashflow is nominal, not real, as it considers inflation.</t>
  </si>
  <si>
    <t>GOAL SEEK NPV=0</t>
  </si>
  <si>
    <t>GOAL SEEK</t>
  </si>
  <si>
    <t>MST Fixed Tilt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</si>
</sst>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0.0"/>
    <numFmt numFmtId="166" formatCode="0.0%"/>
  </numFmts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Aptos Narrow"/>
      <family val="2"/>
      <scheme val="minor"/>
    </font>
    <font>
      <sz val="11"/>
      <color rgb="FF333333"/>
      <name val="Arial"/>
      <family val="2"/>
    </font>
    <font>
      <b/>
      <sz val="11"/>
      <name val="Cambria"/>
      <family val="1"/>
    </font>
    <font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1"/>
    <xf numFmtId="164" fontId="0" fillId="0" borderId="0" xfId="0" applyNumberFormat="1"/>
    <xf numFmtId="0" fontId="1" fillId="2" borderId="0" xfId="0" applyFont="1" applyFill="1"/>
    <xf numFmtId="0" fontId="0" fillId="2" borderId="0" xfId="0" applyFill="1"/>
    <xf numFmtId="2" fontId="0" fillId="0" borderId="0" xfId="0" applyNumberFormat="1"/>
    <xf numFmtId="4" fontId="0" fillId="0" borderId="0" xfId="0" applyNumberFormat="1"/>
    <xf numFmtId="165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8" fontId="0" fillId="0" borderId="0" xfId="0" applyNumberFormat="1"/>
    <xf numFmtId="8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 quotePrefix="1"/>
    <xf numFmtId="2" fontId="0" fillId="0" borderId="1" xfId="0" applyNumberFormat="1" applyBorder="1"/>
    <xf numFmtId="0" fontId="0" fillId="0" borderId="1" xfId="0" applyBorder="1"/>
    <xf numFmtId="10" fontId="1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5" xfId="0" applyBorder="1"/>
    <xf numFmtId="0" fontId="0" fillId="0" borderId="8" xfId="0" applyBorder="1"/>
    <xf numFmtId="2" fontId="0" fillId="3" borderId="1" xfId="0" applyNumberFormat="1" applyFill="1" applyBorder="1"/>
    <xf numFmtId="164" fontId="0" fillId="3" borderId="0" xfId="0" applyNumberFormat="1" applyFill="1"/>
    <xf numFmtId="2" fontId="1" fillId="0" borderId="6" xfId="0" applyNumberFormat="1" applyFont="1" applyBorder="1"/>
    <xf numFmtId="2" fontId="1" fillId="0" borderId="11" xfId="0" applyNumberFormat="1" applyFont="1" applyBorder="1"/>
    <xf numFmtId="2" fontId="1" fillId="0" borderId="9" xfId="0" applyNumberFormat="1" applyFont="1" applyBorder="1"/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iken/OneDrive/Documentos/VUW/Research%20Project/Financial%20Model/Financial%20Model/Bunnythorpe%20Tracking%20WMO%20and%20PPA.xlsx" TargetMode="External"/><Relationship Id="rId1" Type="http://schemas.openxmlformats.org/officeDocument/2006/relationships/externalLinkPath" Target="Bunnythorpe%20Tracking%20WMO%20and%20PP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iken/OneDrive/Documentos/VUW/Research%20Project/Financial%20Model/Financial%20Model/Masterton%20Fixed%20WMO%20and%20PPA.xlsx" TargetMode="External"/><Relationship Id="rId1" Type="http://schemas.openxmlformats.org/officeDocument/2006/relationships/externalLinkPath" Target="Masterton%20Fixed%20WMO%20and%20PP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iken/OneDrive/Documentos/VUW/Research%20Project/Financial%20Model/Financial%20Model/Masterton%20Tracking%20WMO%20and%20PPA.xlsx" TargetMode="External"/><Relationship Id="rId1" Type="http://schemas.openxmlformats.org/officeDocument/2006/relationships/externalLinkPath" Target="Masterton%20Tracking%20WMO%20and%20PPA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iken/OneDrive/Documentos/VUW/Research%20Project/Financial%20Model/Financial%20Model/Hawera%20Fixed%20WMO%20and%20PPA.xlsx" TargetMode="External"/><Relationship Id="rId1" Type="http://schemas.openxmlformats.org/officeDocument/2006/relationships/externalLinkPath" Target="Hawera%20Fixed%20WMO%20and%20PPA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iken/OneDrive/Documentos/VUW/Research%20Project/Financial%20Model/Financial%20Model/Hawera%20Tracking%20WMO%20and%20PPA.xlsx" TargetMode="External"/><Relationship Id="rId1" Type="http://schemas.openxmlformats.org/officeDocument/2006/relationships/externalLinkPath" Target="Hawera%20Tracking%20WMO%20and%20P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ers"/>
      <sheetName val="Track WMO "/>
      <sheetName val="LCOE Track WMO"/>
      <sheetName val="Track PPA"/>
    </sheetNames>
    <sheetDataSet>
      <sheetData sheetId="0">
        <row r="14">
          <cell r="E14">
            <v>6665.5720000000001</v>
          </cell>
        </row>
      </sheetData>
      <sheetData sheetId="1">
        <row r="2">
          <cell r="C2">
            <v>30</v>
          </cell>
        </row>
        <row r="5">
          <cell r="C5">
            <v>9200000</v>
          </cell>
        </row>
        <row r="6">
          <cell r="C6">
            <v>100000</v>
          </cell>
        </row>
        <row r="10">
          <cell r="C10">
            <v>7</v>
          </cell>
        </row>
        <row r="27">
          <cell r="D27">
            <v>5999.0147999999999</v>
          </cell>
          <cell r="E27">
            <v>5951.0226815999995</v>
          </cell>
          <cell r="F27">
            <v>5921.2675681919991</v>
          </cell>
          <cell r="G27">
            <v>5891.6612303510392</v>
          </cell>
          <cell r="H27">
            <v>5862.2029241992841</v>
          </cell>
          <cell r="I27">
            <v>5832.8919095782876</v>
          </cell>
          <cell r="J27">
            <v>5803.7274500303965</v>
          </cell>
          <cell r="K27">
            <v>5774.7088127802444</v>
          </cell>
          <cell r="L27">
            <v>5745.8352687163433</v>
          </cell>
          <cell r="M27">
            <v>5717.1060923727619</v>
          </cell>
          <cell r="N27">
            <v>5688.5205619108983</v>
          </cell>
          <cell r="O27">
            <v>5660.0779591013434</v>
          </cell>
          <cell r="P27">
            <v>5631.7775693058366</v>
          </cell>
          <cell r="Q27">
            <v>5603.6186814593075</v>
          </cell>
          <cell r="R27">
            <v>5575.6005880520106</v>
          </cell>
          <cell r="S27">
            <v>5547.722585111751</v>
          </cell>
          <cell r="T27">
            <v>5519.9839721861917</v>
          </cell>
          <cell r="U27">
            <v>5492.3840523252611</v>
          </cell>
          <cell r="V27">
            <v>5464.9221320636352</v>
          </cell>
          <cell r="W27">
            <v>5437.5975214033169</v>
          </cell>
          <cell r="X27">
            <v>5410.4095337962999</v>
          </cell>
          <cell r="Y27">
            <v>5383.3574861273182</v>
          </cell>
          <cell r="Z27">
            <v>5356.4406986966815</v>
          </cell>
          <cell r="AA27">
            <v>5329.6584952031981</v>
          </cell>
          <cell r="AB27">
            <v>5303.0102027271823</v>
          </cell>
          <cell r="AC27">
            <v>5276.495151713546</v>
          </cell>
          <cell r="AD27">
            <v>5250.1126759549779</v>
          </cell>
          <cell r="AE27">
            <v>5223.8621125752034</v>
          </cell>
          <cell r="AF27">
            <v>5197.742802012327</v>
          </cell>
          <cell r="AG27">
            <v>5171.7540880022652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ers"/>
      <sheetName val="MST Fixed WMO "/>
      <sheetName val="MST LCOE Fixed WMO"/>
      <sheetName val="MST Fixed PPA"/>
    </sheetNames>
    <sheetDataSet>
      <sheetData sheetId="0">
        <row r="10">
          <cell r="E10">
            <v>6310.5659999999998</v>
          </cell>
          <cell r="F10">
            <v>152.38999999999999</v>
          </cell>
        </row>
      </sheetData>
      <sheetData sheetId="1">
        <row r="2">
          <cell r="C2">
            <v>30</v>
          </cell>
        </row>
        <row r="5">
          <cell r="C5">
            <v>8560000</v>
          </cell>
        </row>
        <row r="6">
          <cell r="C6">
            <v>65000</v>
          </cell>
        </row>
        <row r="10">
          <cell r="C10">
            <v>7</v>
          </cell>
        </row>
        <row r="27">
          <cell r="D27">
            <v>5679.5093999999999</v>
          </cell>
          <cell r="E27">
            <v>5634.0733247999997</v>
          </cell>
          <cell r="F27">
            <v>5605.9029581759996</v>
          </cell>
          <cell r="G27">
            <v>5577.8734433851196</v>
          </cell>
          <cell r="H27">
            <v>5549.9840761681935</v>
          </cell>
          <cell r="I27">
            <v>5522.2341557873524</v>
          </cell>
          <cell r="J27">
            <v>5494.6229850084155</v>
          </cell>
          <cell r="K27">
            <v>5467.1498700833736</v>
          </cell>
          <cell r="L27">
            <v>5439.8141207329563</v>
          </cell>
          <cell r="M27">
            <v>5412.6150501292914</v>
          </cell>
          <cell r="N27">
            <v>5385.5519748786446</v>
          </cell>
          <cell r="O27">
            <v>5358.6242150042517</v>
          </cell>
          <cell r="P27">
            <v>5331.8310939292305</v>
          </cell>
          <cell r="Q27">
            <v>5305.1719384595845</v>
          </cell>
          <cell r="R27">
            <v>5278.6460787672868</v>
          </cell>
          <cell r="S27">
            <v>5252.2528483734504</v>
          </cell>
          <cell r="T27">
            <v>5225.9915841315833</v>
          </cell>
          <cell r="U27">
            <v>5199.8616262109254</v>
          </cell>
          <cell r="V27">
            <v>5173.8623180798704</v>
          </cell>
          <cell r="W27">
            <v>5147.9930064894706</v>
          </cell>
          <cell r="X27">
            <v>5122.2530414570228</v>
          </cell>
          <cell r="Y27">
            <v>5096.6417762497376</v>
          </cell>
          <cell r="Z27">
            <v>5071.1585673684885</v>
          </cell>
          <cell r="AA27">
            <v>5045.8027745316458</v>
          </cell>
          <cell r="AB27">
            <v>5020.5737606589873</v>
          </cell>
          <cell r="AC27">
            <v>4995.4708918556926</v>
          </cell>
          <cell r="AD27">
            <v>4970.4935373964145</v>
          </cell>
          <cell r="AE27">
            <v>4945.6410697094325</v>
          </cell>
          <cell r="AF27">
            <v>4920.9128643608856</v>
          </cell>
          <cell r="AG27">
            <v>4896.3083000390807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ers"/>
      <sheetName val="MST Track WMO "/>
      <sheetName val="MST Track PPA"/>
    </sheetNames>
    <sheetDataSet>
      <sheetData sheetId="0">
        <row r="13">
          <cell r="E13">
            <v>7286.2839999999997</v>
          </cell>
          <cell r="F13">
            <v>153.09</v>
          </cell>
        </row>
      </sheetData>
      <sheetData sheetId="1">
        <row r="2">
          <cell r="C2">
            <v>30</v>
          </cell>
        </row>
        <row r="5">
          <cell r="C5">
            <v>9200000</v>
          </cell>
        </row>
        <row r="6">
          <cell r="C6">
            <v>100000</v>
          </cell>
        </row>
        <row r="10">
          <cell r="C10">
            <v>7</v>
          </cell>
        </row>
        <row r="27">
          <cell r="D27">
            <v>6557.6556</v>
          </cell>
          <cell r="E27">
            <v>6505.1943552000002</v>
          </cell>
          <cell r="F27">
            <v>6472.6683834240002</v>
          </cell>
          <cell r="G27">
            <v>6440.3050415068801</v>
          </cell>
          <cell r="H27">
            <v>6408.1035162993458</v>
          </cell>
          <cell r="I27">
            <v>6376.062998717849</v>
          </cell>
          <cell r="J27">
            <v>6344.1826837242597</v>
          </cell>
          <cell r="K27">
            <v>6312.4617703056383</v>
          </cell>
          <cell r="L27">
            <v>6280.8994614541098</v>
          </cell>
          <cell r="M27">
            <v>6249.4949641468393</v>
          </cell>
          <cell r="N27">
            <v>6218.2474893261051</v>
          </cell>
          <cell r="O27">
            <v>6187.1562518794744</v>
          </cell>
          <cell r="P27">
            <v>6156.2204706200773</v>
          </cell>
          <cell r="Q27">
            <v>6125.439368266977</v>
          </cell>
          <cell r="R27">
            <v>6094.8121714256422</v>
          </cell>
          <cell r="S27">
            <v>6064.3381105685139</v>
          </cell>
          <cell r="T27">
            <v>6034.0164200156714</v>
          </cell>
          <cell r="U27">
            <v>6003.8463379155928</v>
          </cell>
          <cell r="V27">
            <v>5973.8271062260146</v>
          </cell>
          <cell r="W27">
            <v>5943.9579706948844</v>
          </cell>
          <cell r="X27">
            <v>5914.2381808414102</v>
          </cell>
          <cell r="Y27">
            <v>5884.6669899372027</v>
          </cell>
          <cell r="Z27">
            <v>5855.2436549875165</v>
          </cell>
          <cell r="AA27">
            <v>5825.967436712579</v>
          </cell>
          <cell r="AB27">
            <v>5796.8375995290162</v>
          </cell>
          <cell r="AC27">
            <v>5767.8534115313714</v>
          </cell>
          <cell r="AD27">
            <v>5739.0141444737146</v>
          </cell>
          <cell r="AE27">
            <v>5710.319073751346</v>
          </cell>
          <cell r="AF27">
            <v>5681.7674783825896</v>
          </cell>
          <cell r="AG27">
            <v>5653.3586409906766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ers"/>
      <sheetName val="HWA Fixed WMO "/>
      <sheetName val="HWA LCOE Fixed WMO"/>
      <sheetName val="HWA Fixed PPA"/>
      <sheetName val="Final Results"/>
    </sheetNames>
    <sheetDataSet>
      <sheetData sheetId="0">
        <row r="12">
          <cell r="F12">
            <v>147.94</v>
          </cell>
        </row>
      </sheetData>
      <sheetData sheetId="1">
        <row r="2">
          <cell r="C2">
            <v>30</v>
          </cell>
        </row>
        <row r="5">
          <cell r="C5">
            <v>8560000</v>
          </cell>
        </row>
        <row r="6">
          <cell r="C6">
            <v>65000</v>
          </cell>
        </row>
        <row r="10">
          <cell r="C10">
            <v>7</v>
          </cell>
        </row>
        <row r="27">
          <cell r="D27">
            <v>6154.4520000000002</v>
          </cell>
          <cell r="E27">
            <v>6105.2163840000003</v>
          </cell>
          <cell r="F27">
            <v>6074.69030208</v>
          </cell>
          <cell r="G27">
            <v>6044.3168505696003</v>
          </cell>
          <cell r="H27">
            <v>6014.0952663167527</v>
          </cell>
          <cell r="I27">
            <v>5984.0247899851693</v>
          </cell>
          <cell r="J27">
            <v>5954.1046660352431</v>
          </cell>
          <cell r="K27">
            <v>5924.3341427050673</v>
          </cell>
          <cell r="L27">
            <v>5894.7124719915419</v>
          </cell>
          <cell r="M27">
            <v>5865.2389096315837</v>
          </cell>
          <cell r="N27">
            <v>5835.9127150834256</v>
          </cell>
          <cell r="O27">
            <v>5806.7331515080086</v>
          </cell>
          <cell r="P27">
            <v>5777.6994857504687</v>
          </cell>
          <cell r="Q27">
            <v>5748.8109883217166</v>
          </cell>
          <cell r="R27">
            <v>5720.0669333801079</v>
          </cell>
          <cell r="S27">
            <v>5691.4665987132075</v>
          </cell>
          <cell r="T27">
            <v>5663.0092657196419</v>
          </cell>
          <cell r="U27">
            <v>5634.6942193910436</v>
          </cell>
          <cell r="V27">
            <v>5606.5207482940887</v>
          </cell>
          <cell r="W27">
            <v>5578.488144552618</v>
          </cell>
          <cell r="X27">
            <v>5550.5957038298548</v>
          </cell>
          <cell r="Y27">
            <v>5522.8427253107056</v>
          </cell>
          <cell r="Z27">
            <v>5495.2285116841522</v>
          </cell>
          <cell r="AA27">
            <v>5467.7523691257311</v>
          </cell>
          <cell r="AB27">
            <v>5440.413607280102</v>
          </cell>
          <cell r="AC27">
            <v>5413.2115392437017</v>
          </cell>
          <cell r="AD27">
            <v>5386.1454815474835</v>
          </cell>
          <cell r="AE27">
            <v>5359.2147541397462</v>
          </cell>
          <cell r="AF27">
            <v>5332.4186803690473</v>
          </cell>
          <cell r="AG27">
            <v>5305.7565869672017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rameters"/>
      <sheetName val="HWA Track WMO "/>
      <sheetName val="HWA LCOE Track WMO"/>
      <sheetName val="HWA Track PPA"/>
      <sheetName val="HWA Final Results"/>
    </sheetNames>
    <sheetDataSet>
      <sheetData sheetId="0">
        <row r="15">
          <cell r="F15">
            <v>148.91999999999999</v>
          </cell>
        </row>
      </sheetData>
      <sheetData sheetId="1">
        <row r="2">
          <cell r="C2">
            <v>30</v>
          </cell>
        </row>
        <row r="5">
          <cell r="C5">
            <v>9200000</v>
          </cell>
        </row>
        <row r="6">
          <cell r="C6">
            <v>100000</v>
          </cell>
        </row>
        <row r="10">
          <cell r="C10">
            <v>7</v>
          </cell>
        </row>
        <row r="27">
          <cell r="D27">
            <v>7126.3620000000001</v>
          </cell>
          <cell r="E27">
            <v>7069.3511040000003</v>
          </cell>
          <cell r="F27">
            <v>7034.0043484799999</v>
          </cell>
          <cell r="G27">
            <v>6998.8343267375994</v>
          </cell>
          <cell r="H27">
            <v>6963.8401551039115</v>
          </cell>
          <cell r="I27">
            <v>6929.0209543283918</v>
          </cell>
          <cell r="J27">
            <v>6894.3758495567499</v>
          </cell>
          <cell r="K27">
            <v>6859.9039703089666</v>
          </cell>
          <cell r="L27">
            <v>6825.604450457422</v>
          </cell>
          <cell r="M27">
            <v>6791.4764282051347</v>
          </cell>
          <cell r="N27">
            <v>6757.5190460641088</v>
          </cell>
          <cell r="O27">
            <v>6723.7314508337886</v>
          </cell>
          <cell r="P27">
            <v>6690.1127935796194</v>
          </cell>
          <cell r="Q27">
            <v>6656.6622296117212</v>
          </cell>
          <cell r="R27">
            <v>6623.3789184636626</v>
          </cell>
          <cell r="S27">
            <v>6590.2620238713444</v>
          </cell>
          <cell r="T27">
            <v>6557.3107137519874</v>
          </cell>
          <cell r="U27">
            <v>6524.5241601832277</v>
          </cell>
          <cell r="V27">
            <v>6491.9015393823111</v>
          </cell>
          <cell r="W27">
            <v>6459.4420316853993</v>
          </cell>
          <cell r="X27">
            <v>6427.144821526972</v>
          </cell>
          <cell r="Y27">
            <v>6395.0090974193372</v>
          </cell>
          <cell r="Z27">
            <v>6363.0340519322408</v>
          </cell>
          <cell r="AA27">
            <v>6331.2188816725793</v>
          </cell>
          <cell r="AB27">
            <v>6299.5627872642162</v>
          </cell>
          <cell r="AC27">
            <v>6268.0649733278951</v>
          </cell>
          <cell r="AD27">
            <v>6236.724648461256</v>
          </cell>
          <cell r="AE27">
            <v>6205.5410252189495</v>
          </cell>
          <cell r="AF27">
            <v>6174.5133200928549</v>
          </cell>
          <cell r="AG27">
            <v>6143.640753492391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hyperlink" Target="https://www.rnz.co.nz/news/political/566419/reserve-bank-holds-official-cash-rate-at-3-point-25-percent" TargetMode="External"/><Relationship Id="rId1" Type="http://schemas.openxmlformats.org/officeDocument/2006/relationships/hyperlink" Target="https://www.stats.govt.nz/news/annual-inflation-at-3-1-percent-in-december-2025/" TargetMode="External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FD6B8-D7FD-4A99-B792-12715AA01D95}">
  <dimension ref="A1:M15"/>
  <sheetViews>
    <sheetView tabSelected="1" workbookViewId="0">
      <selection activeCell="J8" sqref="J8"/>
    </sheetView>
  </sheetViews>
  <sheetFormatPr baseColWidth="10" defaultColWidth="8.83203125" defaultRowHeight="16" x14ac:dyDescent="0.2"/>
  <cols>
    <col min="2" max="2" width="11.83203125" customWidth="1"/>
    <col min="3" max="3" width="11.6640625" customWidth="1"/>
    <col min="4" max="5" width="11.83203125" customWidth="1"/>
    <col min="6" max="6" width="10.83203125" customWidth="1"/>
    <col min="10" max="10" width="21" customWidth="1"/>
    <col min="11" max="11" width="10.5" customWidth="1"/>
    <col min="12" max="12" width="12.83203125" customWidth="1"/>
  </cols>
  <sheetData>
    <row r="1" spans="1:13" x14ac:dyDescent="0.2">
      <c r="A1" s="20"/>
      <c r="B1" s="42" t="s">
        <v>8</v>
      </c>
      <c r="C1" s="43"/>
      <c r="D1" s="42" t="s">
        <v>9</v>
      </c>
      <c r="E1" s="43"/>
      <c r="J1" s="22"/>
      <c r="K1" s="23"/>
      <c r="L1" s="23"/>
      <c r="M1" s="23"/>
    </row>
    <row r="2" spans="1:13" x14ac:dyDescent="0.2">
      <c r="A2" s="35" t="s">
        <v>66</v>
      </c>
      <c r="B2" s="35" t="s">
        <v>69</v>
      </c>
      <c r="C2" s="35" t="s">
        <v>70</v>
      </c>
      <c r="D2" s="35" t="s">
        <v>69</v>
      </c>
      <c r="E2" s="35" t="s">
        <v>70</v>
      </c>
      <c r="J2" s="24"/>
      <c r="K2" s="24"/>
      <c r="L2" s="24"/>
      <c r="M2" s="23"/>
    </row>
    <row r="3" spans="1:13" x14ac:dyDescent="0.2">
      <c r="A3" s="35"/>
      <c r="B3" s="35"/>
      <c r="C3" s="35"/>
      <c r="D3" s="35"/>
      <c r="E3" s="35"/>
      <c r="J3" s="24"/>
      <c r="K3" s="24"/>
      <c r="L3" s="23"/>
      <c r="M3" s="24"/>
    </row>
    <row r="4" spans="1:13" x14ac:dyDescent="0.2">
      <c r="A4" s="20" t="s">
        <v>67</v>
      </c>
      <c r="B4" s="20">
        <f>1712/1000</f>
        <v>1.712</v>
      </c>
      <c r="C4" s="20">
        <f>1840/1000</f>
        <v>1.84</v>
      </c>
      <c r="D4" s="20">
        <f>13/1000</f>
        <v>1.2999999999999999E-2</v>
      </c>
      <c r="E4" s="20">
        <f>20/1000</f>
        <v>0.02</v>
      </c>
      <c r="J4" s="24"/>
      <c r="K4" s="24"/>
      <c r="L4" s="24"/>
      <c r="M4" s="23"/>
    </row>
    <row r="5" spans="1:13" x14ac:dyDescent="0.2">
      <c r="A5" s="20" t="s">
        <v>68</v>
      </c>
      <c r="B5" s="20">
        <f>1553/1000</f>
        <v>1.5529999999999999</v>
      </c>
      <c r="C5" s="20">
        <f>1670/1000</f>
        <v>1.67</v>
      </c>
      <c r="D5" s="20"/>
      <c r="E5" s="20"/>
    </row>
    <row r="7" spans="1:13" ht="17" thickBot="1" x14ac:dyDescent="0.25"/>
    <row r="8" spans="1:13" x14ac:dyDescent="0.2">
      <c r="A8" s="40" t="s">
        <v>71</v>
      </c>
      <c r="B8" s="36" t="s">
        <v>72</v>
      </c>
      <c r="C8" s="36" t="s">
        <v>73</v>
      </c>
      <c r="D8" s="36" t="s">
        <v>74</v>
      </c>
      <c r="E8" s="36" t="s">
        <v>75</v>
      </c>
      <c r="F8" s="38" t="s">
        <v>81</v>
      </c>
    </row>
    <row r="9" spans="1:13" ht="17" thickBot="1" x14ac:dyDescent="0.25">
      <c r="A9" s="41"/>
      <c r="B9" s="37"/>
      <c r="C9" s="37"/>
      <c r="D9" s="37"/>
      <c r="E9" s="37"/>
      <c r="F9" s="39"/>
    </row>
    <row r="10" spans="1:13" x14ac:dyDescent="0.2">
      <c r="A10" s="32" t="s">
        <v>76</v>
      </c>
      <c r="B10" s="25" t="s">
        <v>77</v>
      </c>
      <c r="C10" s="25">
        <v>1262</v>
      </c>
      <c r="D10" s="25">
        <v>6310566</v>
      </c>
      <c r="E10" s="25">
        <v>6310.5659999999998</v>
      </c>
      <c r="F10" s="29">
        <v>152.38999999999999</v>
      </c>
    </row>
    <row r="11" spans="1:13" x14ac:dyDescent="0.2">
      <c r="A11" s="33"/>
      <c r="B11" s="20" t="s">
        <v>78</v>
      </c>
      <c r="C11" s="20">
        <v>1192</v>
      </c>
      <c r="D11" s="20">
        <v>5960802</v>
      </c>
      <c r="E11" s="20">
        <v>5960.8019999999997</v>
      </c>
      <c r="F11" s="30">
        <v>149.99</v>
      </c>
    </row>
    <row r="12" spans="1:13" ht="17" thickBot="1" x14ac:dyDescent="0.25">
      <c r="A12" s="34"/>
      <c r="B12" s="26" t="s">
        <v>79</v>
      </c>
      <c r="C12" s="26">
        <v>1368</v>
      </c>
      <c r="D12" s="26">
        <v>6838278</v>
      </c>
      <c r="E12" s="26">
        <v>6838.28</v>
      </c>
      <c r="F12" s="31">
        <v>147.94</v>
      </c>
    </row>
    <row r="13" spans="1:13" x14ac:dyDescent="0.2">
      <c r="A13" s="32" t="s">
        <v>80</v>
      </c>
      <c r="B13" s="25" t="s">
        <v>77</v>
      </c>
      <c r="C13" s="25">
        <v>1457</v>
      </c>
      <c r="D13" s="25">
        <v>7286284</v>
      </c>
      <c r="E13" s="25">
        <v>7286.2839999999997</v>
      </c>
      <c r="F13" s="29">
        <v>153.09</v>
      </c>
    </row>
    <row r="14" spans="1:13" x14ac:dyDescent="0.2">
      <c r="A14" s="33"/>
      <c r="B14" s="20" t="s">
        <v>78</v>
      </c>
      <c r="C14" s="20">
        <v>1333</v>
      </c>
      <c r="D14" s="20">
        <v>6665572</v>
      </c>
      <c r="E14" s="20">
        <v>6665.5720000000001</v>
      </c>
      <c r="F14" s="30">
        <v>150.77000000000001</v>
      </c>
    </row>
    <row r="15" spans="1:13" ht="17" thickBot="1" x14ac:dyDescent="0.25">
      <c r="A15" s="34"/>
      <c r="B15" s="26" t="s">
        <v>79</v>
      </c>
      <c r="C15" s="26">
        <v>1584</v>
      </c>
      <c r="D15" s="26">
        <v>7918183</v>
      </c>
      <c r="E15" s="26">
        <v>7918.18</v>
      </c>
      <c r="F15" s="31">
        <v>148.91999999999999</v>
      </c>
    </row>
  </sheetData>
  <mergeCells count="15">
    <mergeCell ref="E8:E9"/>
    <mergeCell ref="F8:F9"/>
    <mergeCell ref="A8:A9"/>
    <mergeCell ref="B8:B9"/>
    <mergeCell ref="B1:C1"/>
    <mergeCell ref="D1:E1"/>
    <mergeCell ref="B2:B3"/>
    <mergeCell ref="C2:C3"/>
    <mergeCell ref="D2:D3"/>
    <mergeCell ref="E2:E3"/>
    <mergeCell ref="A10:A12"/>
    <mergeCell ref="A13:A15"/>
    <mergeCell ref="A2:A3"/>
    <mergeCell ref="C8:C9"/>
    <mergeCell ref="D8:D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A100-DDD8-4F2C-8301-B2105B861C2D}">
  <dimension ref="A1:AG4"/>
  <sheetViews>
    <sheetView zoomScale="117" workbookViewId="0">
      <selection activeCell="G11" sqref="G11"/>
    </sheetView>
  </sheetViews>
  <sheetFormatPr baseColWidth="10" defaultColWidth="15.83203125" defaultRowHeight="16" x14ac:dyDescent="0.2"/>
  <sheetData>
    <row r="1" spans="1:33" x14ac:dyDescent="0.2">
      <c r="A1" t="s">
        <v>55</v>
      </c>
      <c r="B1">
        <f>(1-(1+'[2]MST Fixed WMO '!C10/100)^-'[2]MST Fixed WMO '!C2)/('[2]MST Fixed WMO '!C10/100)</f>
        <v>12.409041183505858</v>
      </c>
      <c r="C1" s="16" t="s">
        <v>22</v>
      </c>
      <c r="D1" s="10">
        <v>1</v>
      </c>
      <c r="E1" s="10">
        <f t="shared" ref="E1:AF1" si="0">D1+1</f>
        <v>2</v>
      </c>
      <c r="F1" s="10">
        <f t="shared" si="0"/>
        <v>3</v>
      </c>
      <c r="G1" s="10">
        <f t="shared" si="0"/>
        <v>4</v>
      </c>
      <c r="H1" s="10">
        <f t="shared" si="0"/>
        <v>5</v>
      </c>
      <c r="I1" s="10">
        <f t="shared" si="0"/>
        <v>6</v>
      </c>
      <c r="J1" s="10">
        <f t="shared" si="0"/>
        <v>7</v>
      </c>
      <c r="K1" s="10">
        <f t="shared" si="0"/>
        <v>8</v>
      </c>
      <c r="L1" s="10">
        <f t="shared" si="0"/>
        <v>9</v>
      </c>
      <c r="M1" s="10">
        <f t="shared" si="0"/>
        <v>10</v>
      </c>
      <c r="N1" s="10">
        <f t="shared" si="0"/>
        <v>11</v>
      </c>
      <c r="O1" s="10">
        <f t="shared" si="0"/>
        <v>12</v>
      </c>
      <c r="P1" s="10">
        <f t="shared" si="0"/>
        <v>13</v>
      </c>
      <c r="Q1" s="10">
        <f t="shared" si="0"/>
        <v>14</v>
      </c>
      <c r="R1" s="10">
        <f t="shared" si="0"/>
        <v>15</v>
      </c>
      <c r="S1" s="10">
        <f t="shared" si="0"/>
        <v>16</v>
      </c>
      <c r="T1" s="10">
        <f t="shared" si="0"/>
        <v>17</v>
      </c>
      <c r="U1" s="10">
        <f t="shared" si="0"/>
        <v>18</v>
      </c>
      <c r="V1" s="10">
        <f t="shared" si="0"/>
        <v>19</v>
      </c>
      <c r="W1" s="10">
        <f t="shared" si="0"/>
        <v>20</v>
      </c>
      <c r="X1" s="10">
        <f t="shared" si="0"/>
        <v>21</v>
      </c>
      <c r="Y1" s="10">
        <f t="shared" si="0"/>
        <v>22</v>
      </c>
      <c r="Z1" s="10">
        <f t="shared" si="0"/>
        <v>23</v>
      </c>
      <c r="AA1" s="10">
        <f t="shared" si="0"/>
        <v>24</v>
      </c>
      <c r="AB1" s="10">
        <f>AA1+1</f>
        <v>25</v>
      </c>
      <c r="AC1" s="10">
        <f t="shared" si="0"/>
        <v>26</v>
      </c>
      <c r="AD1" s="10">
        <f t="shared" si="0"/>
        <v>27</v>
      </c>
      <c r="AE1" s="10">
        <f t="shared" si="0"/>
        <v>28</v>
      </c>
      <c r="AF1" s="10">
        <f t="shared" si="0"/>
        <v>29</v>
      </c>
      <c r="AG1" s="10">
        <f>AF1+1</f>
        <v>30</v>
      </c>
    </row>
    <row r="2" spans="1:33" s="8" customFormat="1" x14ac:dyDescent="0.2">
      <c r="A2" s="8" t="s">
        <v>52</v>
      </c>
      <c r="B2" s="3">
        <f>'[2]MST Fixed WMO '!C5+'[2]MST Fixed WMO '!C6/'MST LCOE Fixed WMO'!B1</f>
        <v>8565238.1162282228</v>
      </c>
      <c r="C2" s="17" t="s">
        <v>56</v>
      </c>
      <c r="D2" s="8">
        <f>'[2]MST Fixed WMO '!D27/(1+'[2]MST Fixed WMO '!$C$10/100)^(D1)</f>
        <v>5307.9527102803731</v>
      </c>
      <c r="E2" s="8">
        <f>'[2]MST Fixed WMO '!E27/(1+'[2]MST Fixed WMO '!$C$10/100)^(E1)</f>
        <v>4921.0178398113367</v>
      </c>
      <c r="F2" s="8">
        <f>'[2]MST Fixed WMO '!F27/(1+'[2]MST Fixed WMO '!$C$10/100)^(F1)</f>
        <v>4576.0866828152148</v>
      </c>
      <c r="G2" s="8">
        <f>'[2]MST Fixed WMO '!G27/(1+'[2]MST Fixed WMO '!$C$10/100)^(G1)</f>
        <v>4255.3329433655508</v>
      </c>
      <c r="H2" s="8">
        <f>'[2]MST Fixed WMO '!H27/(1+'[2]MST Fixed WMO '!$C$10/100)^(H1)</f>
        <v>3957.0619426623571</v>
      </c>
      <c r="I2" s="8">
        <f>'[2]MST Fixed WMO '!I27/(1+'[2]MST Fixed WMO '!$C$10/100)^(I1)</f>
        <v>3679.6977878028461</v>
      </c>
      <c r="J2" s="8">
        <f>'[2]MST Fixed WMO '!J27/(1+'[2]MST Fixed WMO '!$C$10/100)^(J1)</f>
        <v>3421.7750456671324</v>
      </c>
      <c r="K2" s="8">
        <f>'[2]MST Fixed WMO '!K27/(1+'[2]MST Fixed WMO '!$C$10/100)^(K1)</f>
        <v>3181.9310004100903</v>
      </c>
      <c r="L2" s="8">
        <f>'[2]MST Fixed WMO '!L27/(1+'[2]MST Fixed WMO '!$C$10/100)^(L1)</f>
        <v>2958.8984536523735</v>
      </c>
      <c r="M2" s="8">
        <f>'[2]MST Fixed WMO '!M27/(1+'[2]MST Fixed WMO '!$C$10/100)^(M1)</f>
        <v>2751.4990293309452</v>
      </c>
      <c r="N2" s="8">
        <f>'[2]MST Fixed WMO '!N27/(1+'[2]MST Fixed WMO '!$C$10/100)^(N1)</f>
        <v>2558.6369478357851</v>
      </c>
      <c r="O2" s="8">
        <f>'[2]MST Fixed WMO '!O27/(1+'[2]MST Fixed WMO '!$C$10/100)^(O1)</f>
        <v>2379.2932365388851</v>
      </c>
      <c r="P2" s="8">
        <f>'[2]MST Fixed WMO '!P27/(1+'[2]MST Fixed WMO '!$C$10/100)^(P1)</f>
        <v>2212.5203461272808</v>
      </c>
      <c r="Q2" s="8">
        <f>'[2]MST Fixed WMO '!Q27/(1+'[2]MST Fixed WMO '!$C$10/100)^(Q1)</f>
        <v>2057.4371442959296</v>
      </c>
      <c r="R2" s="8">
        <f>'[2]MST Fixed WMO '!R27/(1+'[2]MST Fixed WMO '!$C$10/100)^(R1)</f>
        <v>1913.2242603499528</v>
      </c>
      <c r="S2" s="8">
        <f>'[2]MST Fixed WMO '!S27/(1+'[2]MST Fixed WMO '!$C$10/100)^(S1)</f>
        <v>1779.1197561198162</v>
      </c>
      <c r="T2" s="8">
        <f>'[2]MST Fixed WMO '!T27/(1+'[2]MST Fixed WMO '!$C$10/100)^(T1)</f>
        <v>1654.4151003170255</v>
      </c>
      <c r="U2" s="8">
        <f>'[2]MST Fixed WMO '!U27/(1+'[2]MST Fixed WMO '!$C$10/100)^(U1)</f>
        <v>1538.4514250611592</v>
      </c>
      <c r="V2" s="8">
        <f>'[2]MST Fixed WMO '!V27/(1+'[2]MST Fixed WMO '!$C$10/100)^(V1)</f>
        <v>1430.6160447998627</v>
      </c>
      <c r="W2" s="8">
        <f>'[2]MST Fixed WMO '!W27/(1+'[2]MST Fixed WMO '!$C$10/100)^(W1)</f>
        <v>1330.3392192297788</v>
      </c>
      <c r="X2" s="8">
        <f>'[2]MST Fixed WMO '!X27/(1+'[2]MST Fixed WMO '!$C$10/100)^(X1)</f>
        <v>1237.0911431155419</v>
      </c>
      <c r="Y2" s="8">
        <f>'[2]MST Fixed WMO '!Y27/(1+'[2]MST Fixed WMO '!$C$10/100)^(Y1)</f>
        <v>1150.3791471027703</v>
      </c>
      <c r="Z2" s="8">
        <f>'[2]MST Fixed WMO '!Z27/(1+'[2]MST Fixed WMO '!$C$10/100)^(Z1)</f>
        <v>1069.7450947357536</v>
      </c>
      <c r="AA2" s="8">
        <f>'[2]MST Fixed WMO '!AA27/(1+'[2]MST Fixed WMO '!$C$10/100)^(AA1)</f>
        <v>994.76296192717257</v>
      </c>
      <c r="AB2" s="8">
        <f>'[2]MST Fixed WMO '!AB27/(1+'[2]MST Fixed WMO '!$C$10/100)^(AB1)</f>
        <v>925.03658609115575</v>
      </c>
      <c r="AC2" s="8">
        <f>'[2]MST Fixed WMO '!AC27/(1+'[2]MST Fixed WMO '!$C$10/100)^(AC1)</f>
        <v>860.19757304738323</v>
      </c>
      <c r="AD2" s="8">
        <f>'[2]MST Fixed WMO '!AD27/(1+'[2]MST Fixed WMO '!$C$10/100)^(AD1)</f>
        <v>799.90335063751979</v>
      </c>
      <c r="AE2" s="8">
        <f>'[2]MST Fixed WMO '!AE27/(1+'[2]MST Fixed WMO '!$C$10/100)^(AE1)</f>
        <v>743.83535877040413</v>
      </c>
      <c r="AF2" s="8">
        <f>'[2]MST Fixed WMO '!AF27/(1+'[2]MST Fixed WMO '!$C$10/100)^(AF1)</f>
        <v>691.69736633322623</v>
      </c>
      <c r="AG2" s="8">
        <f>'[2]MST Fixed WMO '!AG27/(1+'[2]MST Fixed WMO '!$C$10/100)^(AG1)</f>
        <v>643.21390607622436</v>
      </c>
    </row>
    <row r="3" spans="1:33" x14ac:dyDescent="0.2">
      <c r="A3" t="s">
        <v>53</v>
      </c>
      <c r="B3" s="8">
        <f>SUM(D2:AG2)</f>
        <v>66981.169404310858</v>
      </c>
    </row>
    <row r="4" spans="1:33" x14ac:dyDescent="0.2">
      <c r="A4" s="1" t="s">
        <v>51</v>
      </c>
      <c r="B4" s="14">
        <f>B2/B3</f>
        <v>127.87531469519209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41F0-5D9C-4503-94AA-FF10D9114205}">
  <dimension ref="A1:AG4"/>
  <sheetViews>
    <sheetView zoomScale="117" workbookViewId="0">
      <selection activeCell="B4" sqref="B4"/>
    </sheetView>
  </sheetViews>
  <sheetFormatPr baseColWidth="10" defaultColWidth="15.83203125" defaultRowHeight="16" x14ac:dyDescent="0.2"/>
  <sheetData>
    <row r="1" spans="1:33" x14ac:dyDescent="0.2">
      <c r="A1" t="s">
        <v>55</v>
      </c>
      <c r="B1">
        <f>(1-(1+'[3]MST Track WMO '!C10/100)^-'[3]MST Track WMO '!C2)/('[3]MST Track WMO '!C10/100)</f>
        <v>12.409041183505858</v>
      </c>
      <c r="C1" s="16" t="s">
        <v>22</v>
      </c>
      <c r="D1" s="10">
        <v>1</v>
      </c>
      <c r="E1" s="10">
        <f t="shared" ref="E1:AG1" si="0">D1+1</f>
        <v>2</v>
      </c>
      <c r="F1" s="10">
        <f t="shared" si="0"/>
        <v>3</v>
      </c>
      <c r="G1" s="10">
        <f t="shared" si="0"/>
        <v>4</v>
      </c>
      <c r="H1" s="10">
        <f t="shared" si="0"/>
        <v>5</v>
      </c>
      <c r="I1" s="10">
        <f t="shared" si="0"/>
        <v>6</v>
      </c>
      <c r="J1" s="10">
        <f t="shared" si="0"/>
        <v>7</v>
      </c>
      <c r="K1" s="10">
        <f t="shared" si="0"/>
        <v>8</v>
      </c>
      <c r="L1" s="10">
        <f t="shared" si="0"/>
        <v>9</v>
      </c>
      <c r="M1" s="10">
        <f t="shared" si="0"/>
        <v>10</v>
      </c>
      <c r="N1" s="10">
        <f t="shared" si="0"/>
        <v>11</v>
      </c>
      <c r="O1" s="10">
        <f t="shared" si="0"/>
        <v>12</v>
      </c>
      <c r="P1" s="10">
        <f t="shared" si="0"/>
        <v>13</v>
      </c>
      <c r="Q1" s="10">
        <f t="shared" si="0"/>
        <v>14</v>
      </c>
      <c r="R1" s="10">
        <f t="shared" si="0"/>
        <v>15</v>
      </c>
      <c r="S1" s="10">
        <f t="shared" si="0"/>
        <v>16</v>
      </c>
      <c r="T1" s="10">
        <f t="shared" si="0"/>
        <v>17</v>
      </c>
      <c r="U1" s="10">
        <f t="shared" si="0"/>
        <v>18</v>
      </c>
      <c r="V1" s="10">
        <f t="shared" si="0"/>
        <v>19</v>
      </c>
      <c r="W1" s="10">
        <f t="shared" si="0"/>
        <v>20</v>
      </c>
      <c r="X1" s="10">
        <f t="shared" si="0"/>
        <v>21</v>
      </c>
      <c r="Y1" s="10">
        <f t="shared" si="0"/>
        <v>22</v>
      </c>
      <c r="Z1" s="10">
        <f t="shared" si="0"/>
        <v>23</v>
      </c>
      <c r="AA1" s="10">
        <f t="shared" si="0"/>
        <v>24</v>
      </c>
      <c r="AB1" s="10">
        <f t="shared" si="0"/>
        <v>25</v>
      </c>
      <c r="AC1" s="10">
        <f t="shared" si="0"/>
        <v>26</v>
      </c>
      <c r="AD1" s="10">
        <f t="shared" si="0"/>
        <v>27</v>
      </c>
      <c r="AE1" s="10">
        <f t="shared" si="0"/>
        <v>28</v>
      </c>
      <c r="AF1" s="10">
        <f t="shared" si="0"/>
        <v>29</v>
      </c>
      <c r="AG1" s="10">
        <f t="shared" si="0"/>
        <v>30</v>
      </c>
    </row>
    <row r="2" spans="1:33" s="8" customFormat="1" x14ac:dyDescent="0.2">
      <c r="A2" s="8" t="s">
        <v>52</v>
      </c>
      <c r="B2" s="3">
        <f>'[3]MST Track WMO '!C5+'[3]MST Track WMO '!C6/'MST LCOE Track WMO'!B1</f>
        <v>9208058.6403511111</v>
      </c>
      <c r="C2" s="17" t="s">
        <v>56</v>
      </c>
      <c r="D2" s="8">
        <f>'[3]MST Track WMO '!D27/(1+'[3]MST Track WMO '!$C$10/100)^(D1)</f>
        <v>6128.6500934579435</v>
      </c>
      <c r="E2" s="8">
        <f>'[3]MST Track WMO '!E27/(1+'[3]MST Track WMO '!$C$10/100)^(E1)</f>
        <v>5681.8886847759632</v>
      </c>
      <c r="F2" s="8">
        <f>'[3]MST Track WMO '!F27/(1+'[3]MST Track WMO '!$C$10/100)^(F1)</f>
        <v>5283.6254592075538</v>
      </c>
      <c r="G2" s="8">
        <f>'[3]MST Track WMO '!G27/(1+'[3]MST Track WMO '!$C$10/100)^(G1)</f>
        <v>4913.2778802911371</v>
      </c>
      <c r="H2" s="8">
        <f>'[3]MST Track WMO '!H27/(1+'[3]MST Track WMO '!$C$10/100)^(H1)</f>
        <v>4568.8892438221319</v>
      </c>
      <c r="I2" s="8">
        <f>'[3]MST Track WMO '!I27/(1+'[3]MST Track WMO '!$C$10/100)^(I1)</f>
        <v>4248.639997759833</v>
      </c>
      <c r="J2" s="8">
        <f>'[3]MST Track WMO '!J27/(1+'[3]MST Track WMO '!$C$10/100)^(J1)</f>
        <v>3950.8381287579755</v>
      </c>
      <c r="K2" s="8">
        <f>'[3]MST Track WMO '!K27/(1+'[3]MST Track WMO '!$C$10/100)^(K1)</f>
        <v>3673.9102225366219</v>
      </c>
      <c r="L2" s="8">
        <f>'[3]MST Track WMO '!L27/(1+'[3]MST Track WMO '!$C$10/100)^(L1)</f>
        <v>3416.3931508634937</v>
      </c>
      <c r="M2" s="8">
        <f>'[3]MST Track WMO '!M27/(1+'[3]MST Track WMO '!$C$10/100)^(M1)</f>
        <v>3176.9263412235291</v>
      </c>
      <c r="N2" s="8">
        <f>'[3]MST Track WMO '!N27/(1+'[3]MST Track WMO '!$C$10/100)^(N1)</f>
        <v>2954.2445883340292</v>
      </c>
      <c r="O2" s="8">
        <f>'[3]MST Track WMO '!O27/(1+'[3]MST Track WMO '!$C$10/100)^(O1)</f>
        <v>2747.1713695255698</v>
      </c>
      <c r="P2" s="8">
        <f>'[3]MST Track WMO '!P27/(1+'[3]MST Track WMO '!$C$10/100)^(P1)</f>
        <v>2554.6126286709737</v>
      </c>
      <c r="Q2" s="8">
        <f>'[3]MST Track WMO '!Q27/(1+'[3]MST Track WMO '!$C$10/100)^(Q1)</f>
        <v>2375.5509958202047</v>
      </c>
      <c r="R2" s="8">
        <f>'[3]MST Track WMO '!R27/(1+'[3]MST Track WMO '!$C$10/100)^(R1)</f>
        <v>2209.0404120010312</v>
      </c>
      <c r="S2" s="8">
        <f>'[3]MST Track WMO '!S27/(1+'[3]MST Track WMO '!$C$10/100)^(S1)</f>
        <v>2054.2011307860057</v>
      </c>
      <c r="T2" s="8">
        <f>'[3]MST Track WMO '!T27/(1+'[3]MST Track WMO '!$C$10/100)^(T1)</f>
        <v>1910.2150702168933</v>
      </c>
      <c r="U2" s="8">
        <f>'[3]MST Track WMO '!U27/(1+'[3]MST Track WMO '!$C$10/100)^(U1)</f>
        <v>1776.3214905287932</v>
      </c>
      <c r="V2" s="8">
        <f>'[3]MST Track WMO '!V27/(1+'[3]MST Track WMO '!$C$10/100)^(V1)</f>
        <v>1651.8129748375225</v>
      </c>
      <c r="W2" s="8">
        <f>'[3]MST Track WMO '!W27/(1+'[3]MST Track WMO '!$C$10/100)^(W1)</f>
        <v>1536.0316915545186</v>
      </c>
      <c r="X2" s="8">
        <f>'[3]MST Track WMO '!X27/(1+'[3]MST Track WMO '!$C$10/100)^(X1)</f>
        <v>1428.3659187820056</v>
      </c>
      <c r="Y2" s="8">
        <f>'[3]MST Track WMO '!Y27/(1+'[3]MST Track WMO '!$C$10/100)^(Y1)</f>
        <v>1328.2468123253229</v>
      </c>
      <c r="Z2" s="8">
        <f>'[3]MST Track WMO '!Z27/(1+'[3]MST Track WMO '!$C$10/100)^(Z1)</f>
        <v>1235.145400246445</v>
      </c>
      <c r="AA2" s="8">
        <f>'[3]MST Track WMO '!AA27/(1+'[3]MST Track WMO '!$C$10/100)^(AA1)</f>
        <v>1148.5697880796381</v>
      </c>
      <c r="AB2" s="8">
        <f>'[3]MST Track WMO '!AB27/(1+'[3]MST Track WMO '!$C$10/100)^(AB1)</f>
        <v>1068.0625599432149</v>
      </c>
      <c r="AC2" s="8">
        <f>'[3]MST Track WMO '!AC27/(1+'[3]MST Track WMO '!$C$10/100)^(AC1)</f>
        <v>993.19836181635412</v>
      </c>
      <c r="AD2" s="8">
        <f>'[3]MST Track WMO '!AD27/(1+'[3]MST Track WMO '!$C$10/100)^(AD1)</f>
        <v>923.58165421240392</v>
      </c>
      <c r="AE2" s="8">
        <f>'[3]MST Track WMO '!AE27/(1+'[3]MST Track WMO '!$C$10/100)^(AE1)</f>
        <v>858.84462237508603</v>
      </c>
      <c r="AF2" s="8">
        <f>'[3]MST Track WMO '!AF27/(1+'[3]MST Track WMO '!$C$10/100)^(AF1)</f>
        <v>798.64523295627157</v>
      </c>
      <c r="AG2" s="8">
        <f>'[3]MST Track WMO '!AG27/(1+'[3]MST Track WMO '!$C$10/100)^(AG1)</f>
        <v>742.66542690793483</v>
      </c>
    </row>
    <row r="3" spans="1:33" x14ac:dyDescent="0.2">
      <c r="A3" t="s">
        <v>53</v>
      </c>
      <c r="B3" s="8">
        <f>SUM(D2:AG2)</f>
        <v>77337.567332616367</v>
      </c>
    </row>
    <row r="4" spans="1:33" x14ac:dyDescent="0.2">
      <c r="A4" s="1" t="s">
        <v>51</v>
      </c>
      <c r="B4" s="14">
        <f>B2/B3</f>
        <v>119.06320508826894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BED78-A870-438B-9040-673458F47959}">
  <dimension ref="A1:AG4"/>
  <sheetViews>
    <sheetView zoomScale="117" workbookViewId="0">
      <selection activeCell="F14" sqref="F14"/>
    </sheetView>
  </sheetViews>
  <sheetFormatPr baseColWidth="10" defaultColWidth="15.83203125" defaultRowHeight="16" x14ac:dyDescent="0.2"/>
  <sheetData>
    <row r="1" spans="1:33" x14ac:dyDescent="0.2">
      <c r="A1" t="s">
        <v>55</v>
      </c>
      <c r="B1">
        <f>(1-(1+'[4]HWA Fixed WMO '!C10/100)^-'[4]HWA Fixed WMO '!C2)/('[4]HWA Fixed WMO '!C10/100)</f>
        <v>12.409041183505858</v>
      </c>
      <c r="C1" s="16" t="s">
        <v>22</v>
      </c>
      <c r="D1" s="10">
        <v>1</v>
      </c>
      <c r="E1" s="10">
        <f t="shared" ref="E1:AF1" si="0">D1+1</f>
        <v>2</v>
      </c>
      <c r="F1" s="10">
        <f t="shared" si="0"/>
        <v>3</v>
      </c>
      <c r="G1" s="10">
        <f t="shared" si="0"/>
        <v>4</v>
      </c>
      <c r="H1" s="10">
        <f t="shared" si="0"/>
        <v>5</v>
      </c>
      <c r="I1" s="10">
        <f t="shared" si="0"/>
        <v>6</v>
      </c>
      <c r="J1" s="10">
        <f t="shared" si="0"/>
        <v>7</v>
      </c>
      <c r="K1" s="10">
        <f t="shared" si="0"/>
        <v>8</v>
      </c>
      <c r="L1" s="10">
        <f t="shared" si="0"/>
        <v>9</v>
      </c>
      <c r="M1" s="10">
        <f t="shared" si="0"/>
        <v>10</v>
      </c>
      <c r="N1" s="10">
        <f t="shared" si="0"/>
        <v>11</v>
      </c>
      <c r="O1" s="10">
        <f t="shared" si="0"/>
        <v>12</v>
      </c>
      <c r="P1" s="10">
        <f t="shared" si="0"/>
        <v>13</v>
      </c>
      <c r="Q1" s="10">
        <f t="shared" si="0"/>
        <v>14</v>
      </c>
      <c r="R1" s="10">
        <f t="shared" si="0"/>
        <v>15</v>
      </c>
      <c r="S1" s="10">
        <f t="shared" si="0"/>
        <v>16</v>
      </c>
      <c r="T1" s="10">
        <f t="shared" si="0"/>
        <v>17</v>
      </c>
      <c r="U1" s="10">
        <f t="shared" si="0"/>
        <v>18</v>
      </c>
      <c r="V1" s="10">
        <f t="shared" si="0"/>
        <v>19</v>
      </c>
      <c r="W1" s="10">
        <f t="shared" si="0"/>
        <v>20</v>
      </c>
      <c r="X1" s="10">
        <f t="shared" si="0"/>
        <v>21</v>
      </c>
      <c r="Y1" s="10">
        <f t="shared" si="0"/>
        <v>22</v>
      </c>
      <c r="Z1" s="10">
        <f t="shared" si="0"/>
        <v>23</v>
      </c>
      <c r="AA1" s="10">
        <f t="shared" si="0"/>
        <v>24</v>
      </c>
      <c r="AB1" s="10">
        <f>AA1+1</f>
        <v>25</v>
      </c>
      <c r="AC1" s="10">
        <f t="shared" si="0"/>
        <v>26</v>
      </c>
      <c r="AD1" s="10">
        <f t="shared" si="0"/>
        <v>27</v>
      </c>
      <c r="AE1" s="10">
        <f t="shared" si="0"/>
        <v>28</v>
      </c>
      <c r="AF1" s="10">
        <f t="shared" si="0"/>
        <v>29</v>
      </c>
      <c r="AG1" s="10">
        <f>AF1+1</f>
        <v>30</v>
      </c>
    </row>
    <row r="2" spans="1:33" s="8" customFormat="1" x14ac:dyDescent="0.2">
      <c r="A2" s="8" t="s">
        <v>52</v>
      </c>
      <c r="B2" s="3">
        <f>'[4]HWA Fixed WMO '!C5+'[4]HWA Fixed WMO '!C6/'HWA LCOE Fixed WMO'!B1</f>
        <v>8565238.1162282228</v>
      </c>
      <c r="C2" s="17" t="s">
        <v>56</v>
      </c>
      <c r="D2" s="8">
        <f>'[4]HWA Fixed WMO '!D27/(1+'[4]HWA Fixed WMO '!$C$10/100)^(D1)</f>
        <v>5751.8242990654207</v>
      </c>
      <c r="E2" s="8">
        <f>'[4]HWA Fixed WMO '!E27/(1+'[4]HWA Fixed WMO '!$C$10/100)^(E1)</f>
        <v>5332.5324342737358</v>
      </c>
      <c r="F2" s="8">
        <f>'[4]HWA Fixed WMO '!F27/(1+'[4]HWA Fixed WMO '!$C$10/100)^(F1)</f>
        <v>4958.756796357352</v>
      </c>
      <c r="G2" s="8">
        <f>'[4]HWA Fixed WMO '!G27/(1+'[4]HWA Fixed WMO '!$C$10/100)^(G1)</f>
        <v>4611.1803853977253</v>
      </c>
      <c r="H2" s="8">
        <f>'[4]HWA Fixed WMO '!H27/(1+'[4]HWA Fixed WMO '!$C$10/100)^(H1)</f>
        <v>4287.9668069819963</v>
      </c>
      <c r="I2" s="8">
        <f>'[4]HWA Fixed WMO '!I27/(1+'[4]HWA Fixed WMO '!$C$10/100)^(I1)</f>
        <v>3987.4083859318571</v>
      </c>
      <c r="J2" s="8">
        <f>'[4]HWA Fixed WMO '!J27/(1+'[4]HWA Fixed WMO '!$C$10/100)^(J1)</f>
        <v>3707.9171439272873</v>
      </c>
      <c r="K2" s="8">
        <f>'[4]HWA Fixed WMO '!K27/(1+'[4]HWA Fixed WMO '!$C$10/100)^(K1)</f>
        <v>3448.0164095398609</v>
      </c>
      <c r="L2" s="8">
        <f>'[4]HWA Fixed WMO '!L27/(1+'[4]HWA Fixed WMO '!$C$10/100)^(L1)</f>
        <v>3206.333016347814</v>
      </c>
      <c r="M2" s="8">
        <f>'[4]HWA Fixed WMO '!M27/(1+'[4]HWA Fixed WMO '!$C$10/100)^(M1)</f>
        <v>2981.5900479122197</v>
      </c>
      <c r="N2" s="8">
        <f>'[4]HWA Fixed WMO '!N27/(1+'[4]HWA Fixed WMO '!$C$10/100)^(N1)</f>
        <v>2772.6000912828581</v>
      </c>
      <c r="O2" s="8">
        <f>'[4]HWA Fixed WMO '!O27/(1+'[4]HWA Fixed WMO '!$C$10/100)^(O1)</f>
        <v>2578.2589633892003</v>
      </c>
      <c r="P2" s="8">
        <f>'[4]HWA Fixed WMO '!P27/(1+'[4]HWA Fixed WMO '!$C$10/100)^(P1)</f>
        <v>2397.5398771703308</v>
      </c>
      <c r="Q2" s="8">
        <f>'[4]HWA Fixed WMO '!Q27/(1+'[4]HWA Fixed WMO '!$C$10/100)^(Q1)</f>
        <v>2229.4880166210091</v>
      </c>
      <c r="R2" s="8">
        <f>'[4]HWA Fixed WMO '!R27/(1+'[4]HWA Fixed WMO '!$C$10/100)^(R1)</f>
        <v>2073.2154920914986</v>
      </c>
      <c r="S2" s="8">
        <f>'[4]HWA Fixed WMO '!S27/(1+'[4]HWA Fixed WMO '!$C$10/100)^(S1)</f>
        <v>1927.8966491878891</v>
      </c>
      <c r="T2" s="8">
        <f>'[4]HWA Fixed WMO '!T27/(1+'[4]HWA Fixed WMO '!$C$10/100)^(T1)</f>
        <v>1792.7637064878036</v>
      </c>
      <c r="U2" s="8">
        <f>'[4]HWA Fixed WMO '!U27/(1+'[4]HWA Fixed WMO '!$C$10/100)^(U1)</f>
        <v>1667.1026990237051</v>
      </c>
      <c r="V2" s="8">
        <f>'[4]HWA Fixed WMO '!V27/(1+'[4]HWA Fixed WMO '!$C$10/100)^(V1)</f>
        <v>1550.2497061014828</v>
      </c>
      <c r="W2" s="8">
        <f>'[4]HWA Fixed WMO '!W27/(1+'[4]HWA Fixed WMO '!$C$10/100)^(W1)</f>
        <v>1441.5873435242761</v>
      </c>
      <c r="X2" s="8">
        <f>'[4]HWA Fixed WMO '!X27/(1+'[4]HWA Fixed WMO '!$C$10/100)^(X1)</f>
        <v>1340.5415016884624</v>
      </c>
      <c r="Y2" s="8">
        <f>'[4]HWA Fixed WMO '!Y27/(1+'[4]HWA Fixed WMO '!$C$10/100)^(Y1)</f>
        <v>1246.5783123177757</v>
      </c>
      <c r="Z2" s="8">
        <f>'[4]HWA Fixed WMO '!Z27/(1+'[4]HWA Fixed WMO '!$C$10/100)^(Z1)</f>
        <v>1159.2013278095205</v>
      </c>
      <c r="AA2" s="8">
        <f>'[4]HWA Fixed WMO '!AA27/(1+'[4]HWA Fixed WMO '!$C$10/100)^(AA1)</f>
        <v>1077.9488982901614</v>
      </c>
      <c r="AB2" s="8">
        <f>'[4]HWA Fixed WMO '!AB27/(1+'[4]HWA Fixed WMO '!$C$10/100)^(AB1)</f>
        <v>1002.3917325221593</v>
      </c>
      <c r="AC2" s="8">
        <f>'[4]HWA Fixed WMO '!AC27/(1+'[4]HWA Fixed WMO '!$C$10/100)^(AC1)</f>
        <v>932.13062977527909</v>
      </c>
      <c r="AD2" s="8">
        <f>'[4]HWA Fixed WMO '!AD27/(1+'[4]HWA Fixed WMO '!$C$10/100)^(AD1)</f>
        <v>866.79437067888091</v>
      </c>
      <c r="AE2" s="8">
        <f>'[4]HWA Fixed WMO '!AE27/(1+'[4]HWA Fixed WMO '!$C$10/100)^(AE1)</f>
        <v>806.03775591166982</v>
      </c>
      <c r="AF2" s="8">
        <f>'[4]HWA Fixed WMO '!AF27/(1+'[4]HWA Fixed WMO '!$C$10/100)^(AF1)</f>
        <v>749.53978236645924</v>
      </c>
      <c r="AG2" s="8">
        <f>'[4]HWA Fixed WMO '!AG27/(1+'[4]HWA Fixed WMO '!$C$10/100)^(AG1)</f>
        <v>697.00194715385692</v>
      </c>
    </row>
    <row r="3" spans="1:33" x14ac:dyDescent="0.2">
      <c r="A3" t="s">
        <v>53</v>
      </c>
      <c r="B3" s="8">
        <f>SUM(D2:AG2)</f>
        <v>72582.394529129553</v>
      </c>
    </row>
    <row r="4" spans="1:33" x14ac:dyDescent="0.2">
      <c r="A4" s="1" t="s">
        <v>51</v>
      </c>
      <c r="B4" s="14">
        <f>B2/B3</f>
        <v>118.00710312458386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F0C73-8475-4C89-94D2-A5F5A4949FA4}">
  <dimension ref="A1:AG4"/>
  <sheetViews>
    <sheetView zoomScale="117" workbookViewId="0">
      <selection activeCell="B4" sqref="B4"/>
    </sheetView>
  </sheetViews>
  <sheetFormatPr baseColWidth="10" defaultColWidth="15.83203125" defaultRowHeight="16" x14ac:dyDescent="0.2"/>
  <sheetData>
    <row r="1" spans="1:33" x14ac:dyDescent="0.2">
      <c r="A1" t="s">
        <v>55</v>
      </c>
      <c r="B1">
        <f>(1-(1+'[5]HWA Track WMO '!C10/100)^-'[5]HWA Track WMO '!C2)/('[5]HWA Track WMO '!C10/100)</f>
        <v>12.409041183505858</v>
      </c>
      <c r="C1" s="16" t="s">
        <v>22</v>
      </c>
      <c r="D1" s="10">
        <v>1</v>
      </c>
      <c r="E1" s="10">
        <f t="shared" ref="E1:AF1" si="0">D1+1</f>
        <v>2</v>
      </c>
      <c r="F1" s="10">
        <f t="shared" si="0"/>
        <v>3</v>
      </c>
      <c r="G1" s="10">
        <f t="shared" si="0"/>
        <v>4</v>
      </c>
      <c r="H1" s="10">
        <f t="shared" si="0"/>
        <v>5</v>
      </c>
      <c r="I1" s="10">
        <f t="shared" si="0"/>
        <v>6</v>
      </c>
      <c r="J1" s="10">
        <f t="shared" si="0"/>
        <v>7</v>
      </c>
      <c r="K1" s="10">
        <f t="shared" si="0"/>
        <v>8</v>
      </c>
      <c r="L1" s="10">
        <f t="shared" si="0"/>
        <v>9</v>
      </c>
      <c r="M1" s="10">
        <f t="shared" si="0"/>
        <v>10</v>
      </c>
      <c r="N1" s="10">
        <f t="shared" si="0"/>
        <v>11</v>
      </c>
      <c r="O1" s="10">
        <f t="shared" si="0"/>
        <v>12</v>
      </c>
      <c r="P1" s="10">
        <f t="shared" si="0"/>
        <v>13</v>
      </c>
      <c r="Q1" s="10">
        <f t="shared" si="0"/>
        <v>14</v>
      </c>
      <c r="R1" s="10">
        <f t="shared" si="0"/>
        <v>15</v>
      </c>
      <c r="S1" s="10">
        <f t="shared" si="0"/>
        <v>16</v>
      </c>
      <c r="T1" s="10">
        <f t="shared" si="0"/>
        <v>17</v>
      </c>
      <c r="U1" s="10">
        <f t="shared" si="0"/>
        <v>18</v>
      </c>
      <c r="V1" s="10">
        <f t="shared" si="0"/>
        <v>19</v>
      </c>
      <c r="W1" s="10">
        <f t="shared" si="0"/>
        <v>20</v>
      </c>
      <c r="X1" s="10">
        <f t="shared" si="0"/>
        <v>21</v>
      </c>
      <c r="Y1" s="10">
        <f t="shared" si="0"/>
        <v>22</v>
      </c>
      <c r="Z1" s="10">
        <f t="shared" si="0"/>
        <v>23</v>
      </c>
      <c r="AA1" s="10">
        <f t="shared" si="0"/>
        <v>24</v>
      </c>
      <c r="AB1" s="10">
        <f>AA1+1</f>
        <v>25</v>
      </c>
      <c r="AC1" s="10">
        <f t="shared" si="0"/>
        <v>26</v>
      </c>
      <c r="AD1" s="10">
        <f t="shared" si="0"/>
        <v>27</v>
      </c>
      <c r="AE1" s="10">
        <f t="shared" si="0"/>
        <v>28</v>
      </c>
      <c r="AF1" s="10">
        <f t="shared" si="0"/>
        <v>29</v>
      </c>
      <c r="AG1" s="10">
        <f>AF1+1</f>
        <v>30</v>
      </c>
    </row>
    <row r="2" spans="1:33" s="8" customFormat="1" x14ac:dyDescent="0.2">
      <c r="A2" s="8" t="s">
        <v>52</v>
      </c>
      <c r="B2" s="3">
        <f>'[5]HWA Track WMO '!C5+'[5]HWA Track WMO '!C6/'HWA LCOE Track WMO'!B1</f>
        <v>9208058.6403511111</v>
      </c>
      <c r="C2" s="17" t="s">
        <v>56</v>
      </c>
      <c r="D2" s="8">
        <f>'[5]HWA Track WMO '!D27/(1+'[5]HWA Track WMO '!$C$10/100)^(D1)</f>
        <v>6660.1514018691587</v>
      </c>
      <c r="E2" s="8">
        <f>'[5]HWA Track WMO '!E27/(1+'[5]HWA Track WMO '!$C$10/100)^(E1)</f>
        <v>6174.6450379945845</v>
      </c>
      <c r="F2" s="8">
        <f>'[5]HWA Track WMO '!F27/(1+'[5]HWA Track WMO '!$C$10/100)^(F1)</f>
        <v>5741.842815705244</v>
      </c>
      <c r="G2" s="8">
        <f>'[5]HWA Track WMO '!G27/(1+'[5]HWA Track WMO '!$C$10/100)^(G1)</f>
        <v>5339.3771977819797</v>
      </c>
      <c r="H2" s="8">
        <f>'[5]HWA Track WMO '!H27/(1+'[5]HWA Track WMO '!$C$10/100)^(H1)</f>
        <v>4965.1217867224941</v>
      </c>
      <c r="I2" s="8">
        <f>'[5]HWA Track WMO '!I27/(1+'[5]HWA Track WMO '!$C$10/100)^(I1)</f>
        <v>4617.0992315783942</v>
      </c>
      <c r="J2" s="8">
        <f>'[5]HWA Track WMO '!J27/(1+'[5]HWA Track WMO '!$C$10/100)^(J1)</f>
        <v>4293.4707807668246</v>
      </c>
      <c r="K2" s="8">
        <f>'[5]HWA Track WMO '!K27/(1+'[5]HWA Track WMO '!$C$10/100)^(K1)</f>
        <v>3992.5265671616735</v>
      </c>
      <c r="L2" s="8">
        <f>'[5]HWA Track WMO '!L27/(1+'[5]HWA Track WMO '!$C$10/100)^(L1)</f>
        <v>3712.6765741363224</v>
      </c>
      <c r="M2" s="8">
        <f>'[5]HWA Track WMO '!M27/(1+'[5]HWA Track WMO '!$C$10/100)^(M1)</f>
        <v>3452.4422348277017</v>
      </c>
      <c r="N2" s="8">
        <f>'[5]HWA Track WMO '!N27/(1+'[5]HWA Track WMO '!$C$10/100)^(N1)</f>
        <v>3210.4486202369744</v>
      </c>
      <c r="O2" s="8">
        <f>'[5]HWA Track WMO '!O27/(1+'[5]HWA Track WMO '!$C$10/100)^(O1)</f>
        <v>2985.4171748932622</v>
      </c>
      <c r="P2" s="8">
        <f>'[5]HWA Track WMO '!P27/(1+'[5]HWA Track WMO '!$C$10/100)^(P1)</f>
        <v>2776.158961699809</v>
      </c>
      <c r="Q2" s="8">
        <f>'[5]HWA Track WMO '!Q27/(1+'[5]HWA Track WMO '!$C$10/100)^(Q1)</f>
        <v>2581.5683802722524</v>
      </c>
      <c r="R2" s="8">
        <f>'[5]HWA Track WMO '!R27/(1+'[5]HWA Track WMO '!$C$10/100)^(R1)</f>
        <v>2400.6173255802714</v>
      </c>
      <c r="S2" s="8">
        <f>'[5]HWA Track WMO '!S27/(1+'[5]HWA Track WMO '!$C$10/100)^(S1)</f>
        <v>2232.349756030253</v>
      </c>
      <c r="T2" s="8">
        <f>'[5]HWA Track WMO '!T27/(1+'[5]HWA Track WMO '!$C$10/100)^(T1)</f>
        <v>2075.8766422898143</v>
      </c>
      <c r="U2" s="8">
        <f>'[5]HWA Track WMO '!U27/(1+'[5]HWA Track WMO '!$C$10/100)^(U1)</f>
        <v>1930.3712701666966</v>
      </c>
      <c r="V2" s="8">
        <f>'[5]HWA Track WMO '!V27/(1+'[5]HWA Track WMO '!$C$10/100)^(V1)</f>
        <v>1795.0648727251055</v>
      </c>
      <c r="W2" s="8">
        <f>'[5]HWA Track WMO '!W27/(1+'[5]HWA Track WMO '!$C$10/100)^(W1)</f>
        <v>1669.2425685621311</v>
      </c>
      <c r="X2" s="8">
        <f>'[5]HWA Track WMO '!X27/(1+'[5]HWA Track WMO '!$C$10/100)^(X1)</f>
        <v>1552.2395847844114</v>
      </c>
      <c r="Y2" s="8">
        <f>'[5]HWA Track WMO '!Y27/(1+'[5]HWA Track WMO '!$C$10/100)^(Y1)</f>
        <v>1443.4377447294294</v>
      </c>
      <c r="Z2" s="8">
        <f>'[5]HWA Track WMO '!Z27/(1+'[5]HWA Track WMO '!$C$10/100)^(Z1)</f>
        <v>1342.2622018745628</v>
      </c>
      <c r="AA2" s="8">
        <f>'[5]HWA Track WMO '!AA27/(1+'[5]HWA Track WMO '!$C$10/100)^(AA1)</f>
        <v>1248.1784026777475</v>
      </c>
      <c r="AB2" s="8">
        <f>'[5]HWA Track WMO '!AB27/(1+'[5]HWA Track WMO '!$C$10/100)^(AB1)</f>
        <v>1160.689262303139</v>
      </c>
      <c r="AC2" s="8">
        <f>'[5]HWA Track WMO '!AC27/(1+'[5]HWA Track WMO '!$C$10/100)^(AC1)</f>
        <v>1079.3325383099284</v>
      </c>
      <c r="AD2" s="8">
        <f>'[5]HWA Track WMO '!AD27/(1+'[5]HWA Track WMO '!$C$10/100)^(AD1)</f>
        <v>1003.6783884283911</v>
      </c>
      <c r="AE2" s="8">
        <f>'[5]HWA Track WMO '!AE27/(1+'[5]HWA Track WMO '!$C$10/100)^(AE1)</f>
        <v>933.32709951985919</v>
      </c>
      <c r="AF2" s="8">
        <f>'[5]HWA Track WMO '!AF27/(1+'[5]HWA Track WMO '!$C$10/100)^(AF1)</f>
        <v>867.90697572173826</v>
      </c>
      <c r="AG2" s="8">
        <f>'[5]HWA Track WMO '!AG27/(1+'[5]HWA Track WMO '!$C$10/100)^(AG1)</f>
        <v>807.07237461974728</v>
      </c>
    </row>
    <row r="3" spans="1:33" x14ac:dyDescent="0.2">
      <c r="A3" t="s">
        <v>53</v>
      </c>
      <c r="B3" s="8">
        <f>SUM(D2:AG2)</f>
        <v>84044.5937739699</v>
      </c>
    </row>
    <row r="4" spans="1:33" x14ac:dyDescent="0.2">
      <c r="A4" s="1" t="s">
        <v>51</v>
      </c>
      <c r="B4" s="14">
        <f>B2/B3</f>
        <v>109.56158185635742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4EEEC-19C9-4AC2-86AC-FB7859737E33}">
  <dimension ref="A1:AG59"/>
  <sheetViews>
    <sheetView topLeftCell="A7" zoomScale="103" zoomScaleNormal="110" workbookViewId="0">
      <selection activeCell="C19" sqref="C19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(5*1000000*H4)</f>
        <v>8560000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8560000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5*1000000*J4</f>
        <v>65000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19">
        <f>+Parameters!E11</f>
        <v>5960.8019999999997</v>
      </c>
      <c r="D13" t="s">
        <v>54</v>
      </c>
      <c r="E13" t="s">
        <v>59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5364.7218000000003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3">
        <v>125.36351795939648</v>
      </c>
      <c r="D19" t="s">
        <v>19</v>
      </c>
      <c r="E19" t="s">
        <v>84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5364.7218000000003</v>
      </c>
      <c r="E26" s="8">
        <f>D26*(1-C15/100)</f>
        <v>5321.8040256000004</v>
      </c>
      <c r="F26" s="8">
        <f>E26*(1-$C$16/100)</f>
        <v>5295.195005472</v>
      </c>
      <c r="G26" s="8">
        <f t="shared" ref="G26:AG26" si="2">F26*(1-$C$16/100)</f>
        <v>5268.7190304446403</v>
      </c>
      <c r="H26" s="8">
        <f t="shared" si="2"/>
        <v>5242.375435292417</v>
      </c>
      <c r="I26" s="8">
        <f t="shared" si="2"/>
        <v>5216.1635581159553</v>
      </c>
      <c r="J26" s="8">
        <f t="shared" si="2"/>
        <v>5190.0827403253752</v>
      </c>
      <c r="K26" s="8">
        <f t="shared" si="2"/>
        <v>5164.1323266237487</v>
      </c>
      <c r="L26" s="8">
        <f t="shared" si="2"/>
        <v>5138.3116649906297</v>
      </c>
      <c r="M26" s="8">
        <f t="shared" si="2"/>
        <v>5112.6201066656768</v>
      </c>
      <c r="N26" s="8">
        <f t="shared" si="2"/>
        <v>5087.0570061323488</v>
      </c>
      <c r="O26" s="8">
        <f t="shared" si="2"/>
        <v>5061.6217211016874</v>
      </c>
      <c r="P26" s="8">
        <f t="shared" si="2"/>
        <v>5036.3136124961793</v>
      </c>
      <c r="Q26" s="8">
        <f t="shared" si="2"/>
        <v>5011.132044433698</v>
      </c>
      <c r="R26" s="8">
        <f t="shared" si="2"/>
        <v>4986.0763842115293</v>
      </c>
      <c r="S26" s="8">
        <f t="shared" si="2"/>
        <v>4961.1460022904721</v>
      </c>
      <c r="T26" s="8">
        <f t="shared" si="2"/>
        <v>4936.3402722790197</v>
      </c>
      <c r="U26" s="8">
        <f t="shared" si="2"/>
        <v>4911.6585709176243</v>
      </c>
      <c r="V26" s="8">
        <f t="shared" si="2"/>
        <v>4887.1002780630361</v>
      </c>
      <c r="W26" s="8">
        <f t="shared" si="2"/>
        <v>4862.664776672721</v>
      </c>
      <c r="X26" s="8">
        <f t="shared" si="2"/>
        <v>4838.3514527893576</v>
      </c>
      <c r="Y26" s="8">
        <f t="shared" si="2"/>
        <v>4814.1596955254108</v>
      </c>
      <c r="Z26" s="8">
        <f t="shared" si="2"/>
        <v>4790.0888970477836</v>
      </c>
      <c r="AA26" s="8">
        <f t="shared" si="2"/>
        <v>4766.1384525625444</v>
      </c>
      <c r="AB26" s="8">
        <f t="shared" si="2"/>
        <v>4742.3077602997319</v>
      </c>
      <c r="AC26" s="8">
        <f t="shared" si="2"/>
        <v>4718.5962214982328</v>
      </c>
      <c r="AD26" s="8">
        <f t="shared" si="2"/>
        <v>4695.0032403907417</v>
      </c>
      <c r="AE26" s="8">
        <f t="shared" si="2"/>
        <v>4671.528224188788</v>
      </c>
      <c r="AF26" s="8">
        <f t="shared" si="2"/>
        <v>4648.1705830678438</v>
      </c>
      <c r="AG26" s="8">
        <f t="shared" si="2"/>
        <v>4624.9297301525048</v>
      </c>
    </row>
    <row r="27" spans="1:33" s="8" customFormat="1" x14ac:dyDescent="0.2">
      <c r="A27" s="8" t="s">
        <v>27</v>
      </c>
      <c r="D27" s="8">
        <f>(1-$C$17/100)*D26</f>
        <v>5364.7218000000003</v>
      </c>
      <c r="E27" s="8">
        <f t="shared" ref="E27:AG27" si="3">(1-$C$17/100)*E26</f>
        <v>5321.8040256000004</v>
      </c>
      <c r="F27" s="8">
        <f t="shared" si="3"/>
        <v>5295.195005472</v>
      </c>
      <c r="G27" s="8">
        <f t="shared" si="3"/>
        <v>5268.7190304446403</v>
      </c>
      <c r="H27" s="8">
        <f t="shared" si="3"/>
        <v>5242.375435292417</v>
      </c>
      <c r="I27" s="8">
        <f t="shared" si="3"/>
        <v>5216.1635581159553</v>
      </c>
      <c r="J27" s="8">
        <f t="shared" si="3"/>
        <v>5190.0827403253752</v>
      </c>
      <c r="K27" s="8">
        <f t="shared" si="3"/>
        <v>5164.1323266237487</v>
      </c>
      <c r="L27" s="8">
        <f t="shared" si="3"/>
        <v>5138.3116649906297</v>
      </c>
      <c r="M27" s="8">
        <f t="shared" si="3"/>
        <v>5112.6201066656768</v>
      </c>
      <c r="N27" s="8">
        <f t="shared" si="3"/>
        <v>5087.0570061323488</v>
      </c>
      <c r="O27" s="8">
        <f t="shared" si="3"/>
        <v>5061.6217211016874</v>
      </c>
      <c r="P27" s="8">
        <f t="shared" si="3"/>
        <v>5036.3136124961793</v>
      </c>
      <c r="Q27" s="8">
        <f t="shared" si="3"/>
        <v>5011.132044433698</v>
      </c>
      <c r="R27" s="8">
        <f t="shared" si="3"/>
        <v>4986.0763842115293</v>
      </c>
      <c r="S27" s="8">
        <f t="shared" si="3"/>
        <v>4961.1460022904721</v>
      </c>
      <c r="T27" s="8">
        <f t="shared" si="3"/>
        <v>4936.3402722790197</v>
      </c>
      <c r="U27" s="8">
        <f t="shared" si="3"/>
        <v>4911.6585709176243</v>
      </c>
      <c r="V27" s="8">
        <f t="shared" si="3"/>
        <v>4887.1002780630361</v>
      </c>
      <c r="W27" s="8">
        <f t="shared" si="3"/>
        <v>4862.664776672721</v>
      </c>
      <c r="X27" s="8">
        <f t="shared" si="3"/>
        <v>4838.3514527893576</v>
      </c>
      <c r="Y27" s="8">
        <f t="shared" si="3"/>
        <v>4814.1596955254108</v>
      </c>
      <c r="Z27" s="8">
        <f t="shared" si="3"/>
        <v>4790.0888970477836</v>
      </c>
      <c r="AA27" s="8">
        <f t="shared" si="3"/>
        <v>4766.1384525625444</v>
      </c>
      <c r="AB27" s="8">
        <f t="shared" si="3"/>
        <v>4742.3077602997319</v>
      </c>
      <c r="AC27" s="8">
        <f t="shared" si="3"/>
        <v>4718.5962214982328</v>
      </c>
      <c r="AD27" s="8">
        <f t="shared" si="3"/>
        <v>4695.0032403907417</v>
      </c>
      <c r="AE27" s="8">
        <f t="shared" si="3"/>
        <v>4671.528224188788</v>
      </c>
      <c r="AF27" s="8">
        <f t="shared" si="3"/>
        <v>4648.1705830678438</v>
      </c>
      <c r="AG27" s="8">
        <f t="shared" si="3"/>
        <v>4624.9297301525048</v>
      </c>
    </row>
    <row r="29" spans="1:33" x14ac:dyDescent="0.2">
      <c r="A29" t="s">
        <v>28</v>
      </c>
      <c r="D29" s="3">
        <f>C19</f>
        <v>125.36351795939648</v>
      </c>
      <c r="E29" s="3">
        <f>D29*(1+$C$20/100)</f>
        <v>127.8707883185844</v>
      </c>
      <c r="F29" s="3">
        <f t="shared" ref="F29:AG29" si="4">E29*(1+$C$20/100)</f>
        <v>130.42820408495609</v>
      </c>
      <c r="G29" s="3">
        <f t="shared" si="4"/>
        <v>133.03676816665521</v>
      </c>
      <c r="H29" s="3">
        <f t="shared" si="4"/>
        <v>135.69750352998832</v>
      </c>
      <c r="I29" s="3">
        <f t="shared" si="4"/>
        <v>138.41145360058809</v>
      </c>
      <c r="J29" s="3">
        <f t="shared" si="4"/>
        <v>141.17968267259985</v>
      </c>
      <c r="K29" s="3">
        <f t="shared" si="4"/>
        <v>144.00327632605186</v>
      </c>
      <c r="L29" s="3">
        <f t="shared" si="4"/>
        <v>146.8833418525729</v>
      </c>
      <c r="M29" s="3">
        <f t="shared" si="4"/>
        <v>149.82100868962436</v>
      </c>
      <c r="N29" s="3">
        <f t="shared" si="4"/>
        <v>152.81742886341686</v>
      </c>
      <c r="O29" s="3">
        <f t="shared" si="4"/>
        <v>155.87377744068522</v>
      </c>
      <c r="P29" s="3">
        <f t="shared" si="4"/>
        <v>158.99125298949892</v>
      </c>
      <c r="Q29" s="3">
        <f t="shared" si="4"/>
        <v>162.17107804928889</v>
      </c>
      <c r="R29" s="3">
        <f t="shared" si="4"/>
        <v>165.41449961027467</v>
      </c>
      <c r="S29" s="3">
        <f t="shared" si="4"/>
        <v>168.72278960248016</v>
      </c>
      <c r="T29" s="3">
        <f t="shared" si="4"/>
        <v>172.09724539452978</v>
      </c>
      <c r="U29" s="3">
        <f t="shared" si="4"/>
        <v>175.53919030242037</v>
      </c>
      <c r="V29" s="3">
        <f t="shared" si="4"/>
        <v>179.04997410846877</v>
      </c>
      <c r="W29" s="3">
        <f t="shared" si="4"/>
        <v>182.63097359063815</v>
      </c>
      <c r="X29" s="3">
        <f t="shared" si="4"/>
        <v>186.2835930624509</v>
      </c>
      <c r="Y29" s="3">
        <f t="shared" si="4"/>
        <v>190.00926492369993</v>
      </c>
      <c r="Z29" s="3">
        <f t="shared" si="4"/>
        <v>193.80945022217392</v>
      </c>
      <c r="AA29" s="3">
        <f t="shared" si="4"/>
        <v>197.68563922661741</v>
      </c>
      <c r="AB29" s="3">
        <f t="shared" si="4"/>
        <v>201.63935201114975</v>
      </c>
      <c r="AC29" s="3">
        <f t="shared" si="4"/>
        <v>205.67213905137274</v>
      </c>
      <c r="AD29" s="3">
        <f t="shared" si="4"/>
        <v>209.7855818324002</v>
      </c>
      <c r="AE29" s="3">
        <f t="shared" si="4"/>
        <v>213.98129346904821</v>
      </c>
      <c r="AF29" s="3">
        <f t="shared" si="4"/>
        <v>218.26091933842918</v>
      </c>
      <c r="AG29" s="3">
        <f t="shared" si="4"/>
        <v>222.62613772519776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672540.39772146579</v>
      </c>
      <c r="E33" s="3">
        <f t="shared" ref="E33:AG33" si="6">E29*E27</f>
        <v>680503.27603048796</v>
      </c>
      <c r="F33" s="3">
        <f t="shared" si="6"/>
        <v>690642.77484334225</v>
      </c>
      <c r="G33" s="3">
        <f t="shared" si="6"/>
        <v>700933.35218850803</v>
      </c>
      <c r="H33" s="3">
        <f t="shared" si="6"/>
        <v>711377.25913611683</v>
      </c>
      <c r="I33" s="3">
        <f t="shared" si="6"/>
        <v>721976.78029724502</v>
      </c>
      <c r="J33" s="3">
        <f t="shared" si="6"/>
        <v>732734.23432367388</v>
      </c>
      <c r="K33" s="3">
        <f t="shared" si="6"/>
        <v>743651.9744150968</v>
      </c>
      <c r="L33" s="3">
        <f t="shared" si="6"/>
        <v>754732.38883388171</v>
      </c>
      <c r="M33" s="3">
        <f t="shared" si="6"/>
        <v>765977.90142750659</v>
      </c>
      <c r="N33" s="3">
        <f t="shared" si="6"/>
        <v>777390.9721587766</v>
      </c>
      <c r="O33" s="3">
        <f t="shared" si="6"/>
        <v>788974.09764394246</v>
      </c>
      <c r="P33" s="3">
        <f t="shared" si="6"/>
        <v>800729.81169883721</v>
      </c>
      <c r="Q33" s="3">
        <f t="shared" si="6"/>
        <v>812660.68589314981</v>
      </c>
      <c r="R33" s="3">
        <f t="shared" si="6"/>
        <v>824769.33011295774</v>
      </c>
      <c r="S33" s="3">
        <f t="shared" si="6"/>
        <v>837058.39313164086</v>
      </c>
      <c r="T33" s="3">
        <f t="shared" si="6"/>
        <v>849530.56318930245</v>
      </c>
      <c r="U33" s="3">
        <f t="shared" si="6"/>
        <v>862188.5685808229</v>
      </c>
      <c r="V33" s="3">
        <f t="shared" si="6"/>
        <v>875035.1782526772</v>
      </c>
      <c r="W33" s="3">
        <f t="shared" si="6"/>
        <v>888073.20240864204</v>
      </c>
      <c r="X33" s="3">
        <f t="shared" si="6"/>
        <v>901305.49312453088</v>
      </c>
      <c r="Y33" s="3">
        <f t="shared" si="6"/>
        <v>914734.94497208635</v>
      </c>
      <c r="Z33" s="3">
        <f t="shared" si="6"/>
        <v>928364.49565217039</v>
      </c>
      <c r="AA33" s="3">
        <f t="shared" si="6"/>
        <v>942197.12663738779</v>
      </c>
      <c r="AB33" s="3">
        <f t="shared" si="6"/>
        <v>956235.86382428487</v>
      </c>
      <c r="AC33" s="3">
        <f t="shared" si="6"/>
        <v>970483.7781952665</v>
      </c>
      <c r="AD33" s="3">
        <f t="shared" si="6"/>
        <v>984943.98649037606</v>
      </c>
      <c r="AE33" s="3">
        <f t="shared" si="6"/>
        <v>999619.65188908274</v>
      </c>
      <c r="AF33" s="3">
        <f t="shared" si="6"/>
        <v>1014513.98470223</v>
      </c>
      <c r="AG33" s="3">
        <f t="shared" si="6"/>
        <v>1029630.2430742932</v>
      </c>
    </row>
    <row r="34" spans="1:33" x14ac:dyDescent="0.2">
      <c r="A34" t="s">
        <v>32</v>
      </c>
      <c r="D34" s="3">
        <f>-C6</f>
        <v>-65000</v>
      </c>
      <c r="E34" s="3">
        <f>$D$34*E24</f>
        <v>-67015</v>
      </c>
      <c r="F34" s="3">
        <f t="shared" ref="F34:AG34" si="7">$D$34*F24</f>
        <v>-69092.464999999982</v>
      </c>
      <c r="G34" s="3">
        <f t="shared" si="7"/>
        <v>-71234.331414999979</v>
      </c>
      <c r="H34" s="3">
        <f t="shared" si="7"/>
        <v>-73442.595688864982</v>
      </c>
      <c r="I34" s="3">
        <f t="shared" si="7"/>
        <v>-75719.3161552198</v>
      </c>
      <c r="J34" s="3">
        <f t="shared" si="7"/>
        <v>-78066.614956031597</v>
      </c>
      <c r="K34" s="3">
        <f t="shared" si="7"/>
        <v>-80486.680019668565</v>
      </c>
      <c r="L34" s="3">
        <f t="shared" si="7"/>
        <v>-82981.767100278303</v>
      </c>
      <c r="M34" s="3">
        <f t="shared" si="7"/>
        <v>-85554.201880386914</v>
      </c>
      <c r="N34" s="3">
        <f t="shared" si="7"/>
        <v>-88206.382138678906</v>
      </c>
      <c r="O34" s="3">
        <f t="shared" si="7"/>
        <v>-90940.77998497794</v>
      </c>
      <c r="P34" s="3">
        <f t="shared" si="7"/>
        <v>-93759.944164512272</v>
      </c>
      <c r="Q34" s="3">
        <f t="shared" si="7"/>
        <v>-96666.502433612142</v>
      </c>
      <c r="R34" s="3">
        <f t="shared" si="7"/>
        <v>-99663.164009054104</v>
      </c>
      <c r="S34" s="3">
        <f t="shared" si="7"/>
        <v>-102752.72209333477</v>
      </c>
      <c r="T34" s="3">
        <f t="shared" si="7"/>
        <v>-105938.05647822816</v>
      </c>
      <c r="U34" s="3">
        <f t="shared" si="7"/>
        <v>-109222.13622905323</v>
      </c>
      <c r="V34" s="3">
        <f t="shared" si="7"/>
        <v>-112608.02245215386</v>
      </c>
      <c r="W34" s="3">
        <f t="shared" si="7"/>
        <v>-116098.87114817061</v>
      </c>
      <c r="X34" s="3">
        <f t="shared" si="7"/>
        <v>-119697.93615376391</v>
      </c>
      <c r="Y34" s="3">
        <f t="shared" si="7"/>
        <v>-123408.57217453058</v>
      </c>
      <c r="Z34" s="3">
        <f t="shared" si="7"/>
        <v>-127234.23791194103</v>
      </c>
      <c r="AA34" s="3">
        <f t="shared" si="7"/>
        <v>-131178.49928721119</v>
      </c>
      <c r="AB34" s="3">
        <f t="shared" si="7"/>
        <v>-135245.03276511471</v>
      </c>
      <c r="AC34" s="3">
        <f t="shared" si="7"/>
        <v>-139437.62878083327</v>
      </c>
      <c r="AD34" s="3">
        <f t="shared" si="7"/>
        <v>-143760.19527303908</v>
      </c>
      <c r="AE34" s="3">
        <f t="shared" si="7"/>
        <v>-148216.7613265033</v>
      </c>
      <c r="AF34" s="3">
        <f t="shared" si="7"/>
        <v>-152811.48092762491</v>
      </c>
      <c r="AG34" s="3">
        <f t="shared" si="7"/>
        <v>-157548.63683638128</v>
      </c>
    </row>
    <row r="35" spans="1:33" x14ac:dyDescent="0.2">
      <c r="A35" t="s">
        <v>33</v>
      </c>
      <c r="D35" s="3">
        <f>D33+D34</f>
        <v>607540.39772146579</v>
      </c>
      <c r="E35" s="3">
        <f t="shared" ref="E35:AG35" si="8">E33+E34</f>
        <v>613488.27603048796</v>
      </c>
      <c r="F35" s="3">
        <f t="shared" si="8"/>
        <v>621550.30984334229</v>
      </c>
      <c r="G35" s="3">
        <f t="shared" si="8"/>
        <v>629699.020773508</v>
      </c>
      <c r="H35" s="3">
        <f t="shared" si="8"/>
        <v>637934.66344725189</v>
      </c>
      <c r="I35" s="3">
        <f t="shared" si="8"/>
        <v>646257.46414202522</v>
      </c>
      <c r="J35" s="3">
        <f t="shared" si="8"/>
        <v>654667.61936764233</v>
      </c>
      <c r="K35" s="3">
        <f t="shared" si="8"/>
        <v>663165.29439542827</v>
      </c>
      <c r="L35" s="3">
        <f t="shared" si="8"/>
        <v>671750.62173360342</v>
      </c>
      <c r="M35" s="3">
        <f t="shared" si="8"/>
        <v>680423.69954711967</v>
      </c>
      <c r="N35" s="3">
        <f t="shared" si="8"/>
        <v>689184.59002009768</v>
      </c>
      <c r="O35" s="3">
        <f t="shared" si="8"/>
        <v>698033.31765896454</v>
      </c>
      <c r="P35" s="3">
        <f t="shared" si="8"/>
        <v>706969.86753432499</v>
      </c>
      <c r="Q35" s="3">
        <f t="shared" si="8"/>
        <v>715994.18345953769</v>
      </c>
      <c r="R35" s="3">
        <f t="shared" si="8"/>
        <v>725106.16610390367</v>
      </c>
      <c r="S35" s="3">
        <f t="shared" si="8"/>
        <v>734305.67103830609</v>
      </c>
      <c r="T35" s="3">
        <f t="shared" si="8"/>
        <v>743592.50671107427</v>
      </c>
      <c r="U35" s="3">
        <f t="shared" si="8"/>
        <v>752966.43235176965</v>
      </c>
      <c r="V35" s="3">
        <f t="shared" si="8"/>
        <v>762427.15580052335</v>
      </c>
      <c r="W35" s="3">
        <f t="shared" si="8"/>
        <v>771974.33126047137</v>
      </c>
      <c r="X35" s="3">
        <f t="shared" si="8"/>
        <v>781607.55697076698</v>
      </c>
      <c r="Y35" s="3">
        <f t="shared" si="8"/>
        <v>791326.37279755576</v>
      </c>
      <c r="Z35" s="3">
        <f t="shared" si="8"/>
        <v>801130.25774022937</v>
      </c>
      <c r="AA35" s="3">
        <f t="shared" si="8"/>
        <v>811018.62735017657</v>
      </c>
      <c r="AB35" s="3">
        <f t="shared" si="8"/>
        <v>820990.83105917019</v>
      </c>
      <c r="AC35" s="3">
        <f t="shared" si="8"/>
        <v>831046.14941443317</v>
      </c>
      <c r="AD35" s="3">
        <f t="shared" si="8"/>
        <v>841183.79121733701</v>
      </c>
      <c r="AE35" s="3">
        <f t="shared" si="8"/>
        <v>851402.8905625795</v>
      </c>
      <c r="AF35" s="3">
        <f t="shared" si="8"/>
        <v>861702.50377460499</v>
      </c>
      <c r="AG35" s="3">
        <f t="shared" si="8"/>
        <v>872081.60623791197</v>
      </c>
    </row>
    <row r="37" spans="1:33" x14ac:dyDescent="0.2">
      <c r="A37" t="s">
        <v>34</v>
      </c>
      <c r="C37" s="3">
        <f>-C5</f>
        <v>-8560000</v>
      </c>
    </row>
    <row r="39" spans="1:33" x14ac:dyDescent="0.2">
      <c r="A39" t="s">
        <v>45</v>
      </c>
      <c r="C39" s="3">
        <f>C37+C35</f>
        <v>-8560000</v>
      </c>
      <c r="D39" s="3">
        <f t="shared" ref="D39:AG39" si="9">D37+D35</f>
        <v>607540.39772146579</v>
      </c>
      <c r="E39" s="3">
        <f t="shared" si="9"/>
        <v>613488.27603048796</v>
      </c>
      <c r="F39" s="3">
        <f t="shared" si="9"/>
        <v>621550.30984334229</v>
      </c>
      <c r="G39" s="3">
        <f t="shared" si="9"/>
        <v>629699.020773508</v>
      </c>
      <c r="H39" s="3">
        <f t="shared" si="9"/>
        <v>637934.66344725189</v>
      </c>
      <c r="I39" s="3">
        <f t="shared" si="9"/>
        <v>646257.46414202522</v>
      </c>
      <c r="J39" s="3">
        <f t="shared" si="9"/>
        <v>654667.61936764233</v>
      </c>
      <c r="K39" s="3">
        <f t="shared" si="9"/>
        <v>663165.29439542827</v>
      </c>
      <c r="L39" s="3">
        <f t="shared" si="9"/>
        <v>671750.62173360342</v>
      </c>
      <c r="M39" s="3">
        <f t="shared" si="9"/>
        <v>680423.69954711967</v>
      </c>
      <c r="N39" s="3">
        <f t="shared" si="9"/>
        <v>689184.59002009768</v>
      </c>
      <c r="O39" s="3">
        <f t="shared" si="9"/>
        <v>698033.31765896454</v>
      </c>
      <c r="P39" s="3">
        <f t="shared" si="9"/>
        <v>706969.86753432499</v>
      </c>
      <c r="Q39" s="3">
        <f t="shared" si="9"/>
        <v>715994.18345953769</v>
      </c>
      <c r="R39" s="3">
        <f t="shared" si="9"/>
        <v>725106.16610390367</v>
      </c>
      <c r="S39" s="3">
        <f t="shared" si="9"/>
        <v>734305.67103830609</v>
      </c>
      <c r="T39" s="3">
        <f t="shared" si="9"/>
        <v>743592.50671107427</v>
      </c>
      <c r="U39" s="3">
        <f t="shared" si="9"/>
        <v>752966.43235176965</v>
      </c>
      <c r="V39" s="3">
        <f t="shared" si="9"/>
        <v>762427.15580052335</v>
      </c>
      <c r="W39" s="3">
        <f t="shared" si="9"/>
        <v>771974.33126047137</v>
      </c>
      <c r="X39" s="3">
        <f t="shared" si="9"/>
        <v>781607.55697076698</v>
      </c>
      <c r="Y39" s="3">
        <f t="shared" si="9"/>
        <v>791326.37279755576</v>
      </c>
      <c r="Z39" s="3">
        <f t="shared" si="9"/>
        <v>801130.25774022937</v>
      </c>
      <c r="AA39" s="3">
        <f t="shared" si="9"/>
        <v>811018.62735017657</v>
      </c>
      <c r="AB39" s="3">
        <f t="shared" si="9"/>
        <v>820990.83105917019</v>
      </c>
      <c r="AC39" s="3">
        <f t="shared" si="9"/>
        <v>831046.14941443317</v>
      </c>
      <c r="AD39" s="3">
        <f t="shared" si="9"/>
        <v>841183.79121733701</v>
      </c>
      <c r="AE39" s="3">
        <f t="shared" si="9"/>
        <v>851402.8905625795</v>
      </c>
      <c r="AF39" s="3">
        <f t="shared" si="9"/>
        <v>861702.50377460499</v>
      </c>
      <c r="AG39" s="3">
        <f t="shared" si="9"/>
        <v>872081.60623791197</v>
      </c>
    </row>
    <row r="40" spans="1:33" x14ac:dyDescent="0.2">
      <c r="A40" s="1" t="s">
        <v>35</v>
      </c>
      <c r="B40" s="1"/>
      <c r="C40" s="12">
        <f>NPV(C10/100,C39:AG39)</f>
        <v>1.1015935827081448E-9</v>
      </c>
    </row>
    <row r="41" spans="1:33" x14ac:dyDescent="0.2">
      <c r="A41" s="1" t="s">
        <v>36</v>
      </c>
      <c r="B41" s="1"/>
      <c r="C41" s="15">
        <f>IRR(C39:AG39)</f>
        <v>7.0000000000000062E-2</v>
      </c>
    </row>
    <row r="43" spans="1:33" x14ac:dyDescent="0.2">
      <c r="A43" t="s">
        <v>37</v>
      </c>
      <c r="D43" s="3">
        <f t="shared" ref="D43:AG43" si="10">D35/$C$11</f>
        <v>467338.76747805061</v>
      </c>
      <c r="E43" s="3">
        <f t="shared" si="10"/>
        <v>471914.05848499073</v>
      </c>
      <c r="F43" s="3">
        <f t="shared" si="10"/>
        <v>478115.62295641715</v>
      </c>
      <c r="G43" s="3">
        <f t="shared" si="10"/>
        <v>484383.86213346769</v>
      </c>
      <c r="H43" s="3">
        <f t="shared" si="10"/>
        <v>490718.97188250144</v>
      </c>
      <c r="I43" s="3">
        <f t="shared" si="10"/>
        <v>497121.12626309629</v>
      </c>
      <c r="J43" s="3">
        <f t="shared" si="10"/>
        <v>503590.47643664794</v>
      </c>
      <c r="K43" s="3">
        <f t="shared" si="10"/>
        <v>510127.14953494479</v>
      </c>
      <c r="L43" s="3">
        <f t="shared" si="10"/>
        <v>516731.24748738721</v>
      </c>
      <c r="M43" s="3">
        <f t="shared" si="10"/>
        <v>523402.84580547665</v>
      </c>
      <c r="N43" s="3">
        <f t="shared" si="10"/>
        <v>530141.99232315202</v>
      </c>
      <c r="O43" s="3">
        <f t="shared" si="10"/>
        <v>536948.70589151117</v>
      </c>
      <c r="P43" s="3">
        <f t="shared" si="10"/>
        <v>543822.97502640379</v>
      </c>
      <c r="Q43" s="3">
        <f t="shared" si="10"/>
        <v>550764.75650733663</v>
      </c>
      <c r="R43" s="3">
        <f t="shared" si="10"/>
        <v>557773.97392607969</v>
      </c>
      <c r="S43" s="3">
        <f t="shared" si="10"/>
        <v>564850.5161833124</v>
      </c>
      <c r="T43" s="3">
        <f t="shared" si="10"/>
        <v>571994.23593159555</v>
      </c>
      <c r="U43" s="3">
        <f t="shared" si="10"/>
        <v>579204.94796289969</v>
      </c>
      <c r="V43" s="3">
        <f t="shared" si="10"/>
        <v>586482.42753886408</v>
      </c>
      <c r="W43" s="3">
        <f t="shared" si="10"/>
        <v>593826.40866190102</v>
      </c>
      <c r="X43" s="3">
        <f t="shared" si="10"/>
        <v>601236.58228520537</v>
      </c>
      <c r="Y43" s="3">
        <f t="shared" si="10"/>
        <v>608712.59445965826</v>
      </c>
      <c r="Z43" s="3">
        <f t="shared" si="10"/>
        <v>616254.04441556102</v>
      </c>
      <c r="AA43" s="3">
        <f t="shared" si="10"/>
        <v>623860.48257705884</v>
      </c>
      <c r="AB43" s="3">
        <f t="shared" si="10"/>
        <v>631531.40850705397</v>
      </c>
      <c r="AC43" s="3">
        <f t="shared" si="10"/>
        <v>639266.26878033322</v>
      </c>
      <c r="AD43" s="3">
        <f t="shared" si="10"/>
        <v>647064.45478256687</v>
      </c>
      <c r="AE43" s="3">
        <f t="shared" si="10"/>
        <v>654925.3004327534</v>
      </c>
      <c r="AF43" s="3">
        <f t="shared" si="10"/>
        <v>662848.07982661924</v>
      </c>
      <c r="AG43" s="3">
        <f t="shared" si="10"/>
        <v>670832.00479839381</v>
      </c>
    </row>
    <row r="44" spans="1:33" x14ac:dyDescent="0.2">
      <c r="A44" t="s">
        <v>42</v>
      </c>
      <c r="C44" s="11">
        <f>NPV(C9/100,D43:AG43)</f>
        <v>8039640.7788413335</v>
      </c>
    </row>
    <row r="45" spans="1:33" x14ac:dyDescent="0.2">
      <c r="A45" t="s">
        <v>38</v>
      </c>
      <c r="C45" s="11"/>
      <c r="D45" s="11">
        <f>C44</f>
        <v>8039640.7788413335</v>
      </c>
      <c r="E45" s="11">
        <f>D48</f>
        <v>7994383.1522524524</v>
      </c>
      <c r="F45" s="11">
        <f t="shared" ref="F45:AG45" si="11">E48</f>
        <v>7942174.2092607152</v>
      </c>
      <c r="G45" s="11">
        <f t="shared" si="11"/>
        <v>7881022.7322904859</v>
      </c>
      <c r="H45" s="11">
        <f t="shared" si="11"/>
        <v>7810392.5636022687</v>
      </c>
      <c r="I45" s="11">
        <f t="shared" si="11"/>
        <v>7729719.2013088865</v>
      </c>
      <c r="J45" s="11">
        <f t="shared" si="11"/>
        <v>7638408.3331145067</v>
      </c>
      <c r="K45" s="11">
        <f t="shared" si="11"/>
        <v>7535834.2941663703</v>
      </c>
      <c r="L45" s="11">
        <f t="shared" si="11"/>
        <v>7421338.4450751599</v>
      </c>
      <c r="M45" s="11">
        <f t="shared" si="11"/>
        <v>7294227.465954219</v>
      </c>
      <c r="N45" s="11">
        <f t="shared" si="11"/>
        <v>7153771.5621113386</v>
      </c>
      <c r="O45" s="11">
        <f t="shared" si="11"/>
        <v>6999202.5767990313</v>
      </c>
      <c r="P45" s="11">
        <f t="shared" si="11"/>
        <v>6829712.0061894692</v>
      </c>
      <c r="Q45" s="11">
        <f t="shared" si="11"/>
        <v>6644448.9114880124</v>
      </c>
      <c r="R45" s="11">
        <f t="shared" si="11"/>
        <v>6442517.7228337964</v>
      </c>
      <c r="S45" s="11">
        <f t="shared" si="11"/>
        <v>6222975.9293564912</v>
      </c>
      <c r="T45" s="11">
        <f t="shared" si="11"/>
        <v>5984831.6494643949</v>
      </c>
      <c r="U45" s="11">
        <f t="shared" si="11"/>
        <v>5727041.0751296803</v>
      </c>
      <c r="V45" s="11">
        <f t="shared" si="11"/>
        <v>5448505.783611089</v>
      </c>
      <c r="W45" s="11">
        <f t="shared" si="11"/>
        <v>5148069.909711807</v>
      </c>
      <c r="X45" s="11">
        <f t="shared" si="11"/>
        <v>4824517.1713097757</v>
      </c>
      <c r="Y45" s="11">
        <f t="shared" si="11"/>
        <v>4476567.7405183334</v>
      </c>
      <c r="Z45" s="11">
        <f t="shared" si="11"/>
        <v>4102874.9524358874</v>
      </c>
      <c r="AA45" s="11">
        <f t="shared" si="11"/>
        <v>3702021.8430232103</v>
      </c>
      <c r="AB45" s="11">
        <f t="shared" si="11"/>
        <v>3272517.5072048698</v>
      </c>
      <c r="AC45" s="11">
        <f t="shared" si="11"/>
        <v>2812793.2678260715</v>
      </c>
      <c r="AD45" s="11">
        <f t="shared" si="11"/>
        <v>2321198.6456066072</v>
      </c>
      <c r="AE45" s="11">
        <f t="shared" si="11"/>
        <v>1795997.1197183873</v>
      </c>
      <c r="AF45" s="11">
        <f t="shared" si="11"/>
        <v>1235361.668070849</v>
      </c>
      <c r="AG45" s="11">
        <f t="shared" si="11"/>
        <v>637370.07581794937</v>
      </c>
    </row>
    <row r="46" spans="1:33" x14ac:dyDescent="0.2">
      <c r="A46" t="s">
        <v>39</v>
      </c>
      <c r="D46" s="11">
        <f>D45*$C$9/100</f>
        <v>422081.14088917</v>
      </c>
      <c r="E46" s="11">
        <f>E45*$C$9/100</f>
        <v>419705.11549325375</v>
      </c>
      <c r="F46" s="11">
        <f t="shared" ref="F46:AG46" si="12">F45*$C$9/100</f>
        <v>416964.1459861875</v>
      </c>
      <c r="G46" s="11">
        <f t="shared" si="12"/>
        <v>413753.69344525057</v>
      </c>
      <c r="H46" s="11">
        <f t="shared" si="12"/>
        <v>410045.60958911909</v>
      </c>
      <c r="I46" s="11">
        <f t="shared" si="12"/>
        <v>405810.2580687165</v>
      </c>
      <c r="J46" s="11">
        <f t="shared" si="12"/>
        <v>401016.43748851155</v>
      </c>
      <c r="K46" s="11">
        <f t="shared" si="12"/>
        <v>395631.30044373445</v>
      </c>
      <c r="L46" s="11">
        <f t="shared" si="12"/>
        <v>389620.2683664459</v>
      </c>
      <c r="M46" s="11">
        <f t="shared" si="12"/>
        <v>382946.94196259649</v>
      </c>
      <c r="N46" s="11">
        <f t="shared" si="12"/>
        <v>375573.00701084523</v>
      </c>
      <c r="O46" s="11">
        <f t="shared" si="12"/>
        <v>367458.13528194913</v>
      </c>
      <c r="P46" s="11">
        <f t="shared" si="12"/>
        <v>358559.88032494718</v>
      </c>
      <c r="Q46" s="11">
        <f t="shared" si="12"/>
        <v>348833.56785312062</v>
      </c>
      <c r="R46" s="11">
        <f t="shared" si="12"/>
        <v>338232.18044877431</v>
      </c>
      <c r="S46" s="11">
        <f t="shared" si="12"/>
        <v>326706.23629121581</v>
      </c>
      <c r="T46" s="11">
        <f t="shared" si="12"/>
        <v>314203.66159688076</v>
      </c>
      <c r="U46" s="11">
        <f t="shared" si="12"/>
        <v>300669.65644430823</v>
      </c>
      <c r="V46" s="11">
        <f t="shared" si="12"/>
        <v>286046.55363958218</v>
      </c>
      <c r="W46" s="11">
        <f t="shared" si="12"/>
        <v>270273.67025986989</v>
      </c>
      <c r="X46" s="11">
        <f t="shared" si="12"/>
        <v>253287.1514937632</v>
      </c>
      <c r="Y46" s="11">
        <f t="shared" si="12"/>
        <v>235019.80637721252</v>
      </c>
      <c r="Z46" s="11">
        <f t="shared" si="12"/>
        <v>215400.93500288407</v>
      </c>
      <c r="AA46" s="11">
        <f t="shared" si="12"/>
        <v>194356.14675871853</v>
      </c>
      <c r="AB46" s="11">
        <f t="shared" si="12"/>
        <v>171807.16912825566</v>
      </c>
      <c r="AC46" s="11">
        <f t="shared" si="12"/>
        <v>147671.64656086874</v>
      </c>
      <c r="AD46" s="11">
        <f t="shared" si="12"/>
        <v>121862.92889434687</v>
      </c>
      <c r="AE46" s="11">
        <f t="shared" si="12"/>
        <v>94289.848785215334</v>
      </c>
      <c r="AF46" s="11">
        <f t="shared" si="12"/>
        <v>64856.487573719576</v>
      </c>
      <c r="AG46" s="11">
        <f t="shared" si="12"/>
        <v>33461.928980442339</v>
      </c>
    </row>
    <row r="47" spans="1:33" s="3" customFormat="1" x14ac:dyDescent="0.2">
      <c r="A47" s="3" t="s">
        <v>40</v>
      </c>
      <c r="D47" s="3">
        <f>IF(D45&lt;1,0,D43-D46)</f>
        <v>45257.626588880608</v>
      </c>
      <c r="E47" s="3">
        <f>IF(E45&lt;1,0,E43-E46)</f>
        <v>52208.942991736985</v>
      </c>
      <c r="F47" s="3">
        <f t="shared" ref="F47:AG47" si="13">IF(F45&lt;1,0,F43-F46)</f>
        <v>61151.476970229647</v>
      </c>
      <c r="G47" s="3">
        <f t="shared" si="13"/>
        <v>70630.16868821712</v>
      </c>
      <c r="H47" s="3">
        <f t="shared" si="13"/>
        <v>80673.36229338235</v>
      </c>
      <c r="I47" s="3">
        <f t="shared" si="13"/>
        <v>91310.868194379786</v>
      </c>
      <c r="J47" s="3">
        <f t="shared" si="13"/>
        <v>102574.03894813638</v>
      </c>
      <c r="K47" s="3">
        <f t="shared" si="13"/>
        <v>114495.84909121034</v>
      </c>
      <c r="L47" s="3">
        <f t="shared" si="13"/>
        <v>127110.97912094131</v>
      </c>
      <c r="M47" s="3">
        <f t="shared" si="13"/>
        <v>140455.90384288016</v>
      </c>
      <c r="N47" s="3">
        <f t="shared" si="13"/>
        <v>154568.98531230679</v>
      </c>
      <c r="O47" s="3">
        <f t="shared" si="13"/>
        <v>169490.57060956204</v>
      </c>
      <c r="P47" s="3">
        <f t="shared" si="13"/>
        <v>185263.0947014566</v>
      </c>
      <c r="Q47" s="3">
        <f t="shared" si="13"/>
        <v>201931.18865421601</v>
      </c>
      <c r="R47" s="3">
        <f t="shared" si="13"/>
        <v>219541.79347730539</v>
      </c>
      <c r="S47" s="3">
        <f t="shared" si="13"/>
        <v>238144.27989209659</v>
      </c>
      <c r="T47" s="3">
        <f t="shared" si="13"/>
        <v>257790.57433471479</v>
      </c>
      <c r="U47" s="3">
        <f t="shared" si="13"/>
        <v>278535.29151859146</v>
      </c>
      <c r="V47" s="3">
        <f t="shared" si="13"/>
        <v>300435.8738992819</v>
      </c>
      <c r="W47" s="3">
        <f t="shared" si="13"/>
        <v>323552.73840203113</v>
      </c>
      <c r="X47" s="3">
        <f t="shared" si="13"/>
        <v>347949.43079144217</v>
      </c>
      <c r="Y47" s="3">
        <f t="shared" si="13"/>
        <v>373692.78808244574</v>
      </c>
      <c r="Z47" s="3">
        <f t="shared" si="13"/>
        <v>400853.10941267695</v>
      </c>
      <c r="AA47" s="3">
        <f t="shared" si="13"/>
        <v>429504.3358183403</v>
      </c>
      <c r="AB47" s="3">
        <f t="shared" si="13"/>
        <v>459724.23937879829</v>
      </c>
      <c r="AC47" s="3">
        <f t="shared" si="13"/>
        <v>491594.62221946451</v>
      </c>
      <c r="AD47" s="3">
        <f t="shared" si="13"/>
        <v>525201.52588821994</v>
      </c>
      <c r="AE47" s="3">
        <f t="shared" si="13"/>
        <v>560635.45164753811</v>
      </c>
      <c r="AF47" s="3">
        <f t="shared" si="13"/>
        <v>597991.59225289966</v>
      </c>
      <c r="AG47" s="3">
        <f t="shared" si="13"/>
        <v>637370.07581795147</v>
      </c>
    </row>
    <row r="48" spans="1:33" x14ac:dyDescent="0.2">
      <c r="A48" t="s">
        <v>41</v>
      </c>
      <c r="D48" s="11">
        <f>D45-D47</f>
        <v>7994383.1522524524</v>
      </c>
      <c r="E48" s="11">
        <f>E45-E47</f>
        <v>7942174.2092607152</v>
      </c>
      <c r="F48" s="11">
        <f t="shared" ref="F48:AG48" si="14">F45-F47</f>
        <v>7881022.7322904859</v>
      </c>
      <c r="G48" s="11">
        <f t="shared" si="14"/>
        <v>7810392.5636022687</v>
      </c>
      <c r="H48" s="11">
        <f t="shared" si="14"/>
        <v>7729719.2013088865</v>
      </c>
      <c r="I48" s="11">
        <f t="shared" si="14"/>
        <v>7638408.3331145067</v>
      </c>
      <c r="J48" s="11">
        <f t="shared" si="14"/>
        <v>7535834.2941663703</v>
      </c>
      <c r="K48" s="11">
        <f t="shared" si="14"/>
        <v>7421338.4450751599</v>
      </c>
      <c r="L48" s="11">
        <f t="shared" si="14"/>
        <v>7294227.465954219</v>
      </c>
      <c r="M48" s="11">
        <f t="shared" si="14"/>
        <v>7153771.5621113386</v>
      </c>
      <c r="N48" s="11">
        <f t="shared" si="14"/>
        <v>6999202.5767990313</v>
      </c>
      <c r="O48" s="11">
        <f t="shared" si="14"/>
        <v>6829712.0061894692</v>
      </c>
      <c r="P48" s="11">
        <f t="shared" si="14"/>
        <v>6644448.9114880124</v>
      </c>
      <c r="Q48" s="11">
        <f t="shared" si="14"/>
        <v>6442517.7228337964</v>
      </c>
      <c r="R48" s="11">
        <f t="shared" si="14"/>
        <v>6222975.9293564912</v>
      </c>
      <c r="S48" s="11">
        <f t="shared" si="14"/>
        <v>5984831.6494643949</v>
      </c>
      <c r="T48" s="11">
        <f t="shared" si="14"/>
        <v>5727041.0751296803</v>
      </c>
      <c r="U48" s="11">
        <f t="shared" si="14"/>
        <v>5448505.783611089</v>
      </c>
      <c r="V48" s="11">
        <f t="shared" si="14"/>
        <v>5148069.909711807</v>
      </c>
      <c r="W48" s="11">
        <f t="shared" si="14"/>
        <v>4824517.1713097757</v>
      </c>
      <c r="X48" s="11">
        <f t="shared" si="14"/>
        <v>4476567.7405183334</v>
      </c>
      <c r="Y48" s="11">
        <f t="shared" si="14"/>
        <v>4102874.9524358874</v>
      </c>
      <c r="Z48" s="11">
        <f t="shared" si="14"/>
        <v>3702021.8430232103</v>
      </c>
      <c r="AA48" s="11">
        <f t="shared" si="14"/>
        <v>3272517.5072048698</v>
      </c>
      <c r="AB48" s="11">
        <f t="shared" si="14"/>
        <v>2812793.2678260715</v>
      </c>
      <c r="AC48" s="11">
        <f t="shared" si="14"/>
        <v>2321198.6456066072</v>
      </c>
      <c r="AD48" s="11">
        <f t="shared" si="14"/>
        <v>1795997.1197183873</v>
      </c>
      <c r="AE48" s="11">
        <f t="shared" si="14"/>
        <v>1235361.668070849</v>
      </c>
      <c r="AF48" s="11">
        <f t="shared" si="14"/>
        <v>637370.07581794937</v>
      </c>
      <c r="AG48" s="11">
        <f t="shared" si="14"/>
        <v>-2.0954757928848267E-9</v>
      </c>
    </row>
    <row r="50" spans="1:33" x14ac:dyDescent="0.2">
      <c r="A50" t="s">
        <v>43</v>
      </c>
      <c r="C50" s="3">
        <f>-(C37+C44)</f>
        <v>520359.22115866654</v>
      </c>
    </row>
    <row r="51" spans="1:33" x14ac:dyDescent="0.2">
      <c r="A51" t="s">
        <v>44</v>
      </c>
      <c r="C51" s="3">
        <f>-C50</f>
        <v>-520359.22115866654</v>
      </c>
      <c r="D51" s="3">
        <f>D39-D46-D47</f>
        <v>140201.63024341519</v>
      </c>
      <c r="E51" s="3">
        <f t="shared" ref="E51:AG51" si="15">E39-E46-E47</f>
        <v>141574.21754549723</v>
      </c>
      <c r="F51" s="3">
        <f t="shared" si="15"/>
        <v>143434.68688692513</v>
      </c>
      <c r="G51" s="3">
        <f t="shared" si="15"/>
        <v>145315.15864004032</v>
      </c>
      <c r="H51" s="3">
        <f t="shared" si="15"/>
        <v>147215.69156475045</v>
      </c>
      <c r="I51" s="3">
        <f t="shared" si="15"/>
        <v>149136.33787892893</v>
      </c>
      <c r="J51" s="3">
        <f t="shared" si="15"/>
        <v>151077.14293099439</v>
      </c>
      <c r="K51" s="3">
        <f t="shared" si="15"/>
        <v>153038.14486048347</v>
      </c>
      <c r="L51" s="3">
        <f t="shared" si="15"/>
        <v>155019.3742462162</v>
      </c>
      <c r="M51" s="3">
        <f t="shared" si="15"/>
        <v>157020.85374164302</v>
      </c>
      <c r="N51" s="3">
        <f t="shared" si="15"/>
        <v>159042.59769694565</v>
      </c>
      <c r="O51" s="3">
        <f t="shared" si="15"/>
        <v>161084.61176745337</v>
      </c>
      <c r="P51" s="3">
        <f t="shared" si="15"/>
        <v>163146.89250792121</v>
      </c>
      <c r="Q51" s="3">
        <f t="shared" si="15"/>
        <v>165229.42695220106</v>
      </c>
      <c r="R51" s="3">
        <f t="shared" si="15"/>
        <v>167332.19217782398</v>
      </c>
      <c r="S51" s="3">
        <f t="shared" si="15"/>
        <v>169455.15485499369</v>
      </c>
      <c r="T51" s="3">
        <f t="shared" si="15"/>
        <v>171598.27077947871</v>
      </c>
      <c r="U51" s="3">
        <f t="shared" si="15"/>
        <v>173761.48438886995</v>
      </c>
      <c r="V51" s="3">
        <f t="shared" si="15"/>
        <v>175944.72826165927</v>
      </c>
      <c r="W51" s="3">
        <f t="shared" si="15"/>
        <v>178147.92259857035</v>
      </c>
      <c r="X51" s="3">
        <f t="shared" si="15"/>
        <v>180370.97468556161</v>
      </c>
      <c r="Y51" s="3">
        <f t="shared" si="15"/>
        <v>182613.7783378975</v>
      </c>
      <c r="Z51" s="3">
        <f t="shared" si="15"/>
        <v>184876.21332466829</v>
      </c>
      <c r="AA51" s="3">
        <f t="shared" si="15"/>
        <v>187158.14477311773</v>
      </c>
      <c r="AB51" s="3">
        <f t="shared" si="15"/>
        <v>189459.42255211622</v>
      </c>
      <c r="AC51" s="3">
        <f t="shared" si="15"/>
        <v>191779.88063409994</v>
      </c>
      <c r="AD51" s="3">
        <f t="shared" si="15"/>
        <v>194119.33643477014</v>
      </c>
      <c r="AE51" s="3">
        <f t="shared" si="15"/>
        <v>196477.5901298261</v>
      </c>
      <c r="AF51" s="3">
        <f t="shared" si="15"/>
        <v>198854.42394798575</v>
      </c>
      <c r="AG51" s="3">
        <f t="shared" si="15"/>
        <v>201249.60143951816</v>
      </c>
    </row>
    <row r="52" spans="1:33" x14ac:dyDescent="0.2">
      <c r="A52" s="1" t="s">
        <v>46</v>
      </c>
      <c r="B52" s="1"/>
      <c r="C52" s="12">
        <f>NPV(C9/100,C51:AG51)</f>
        <v>1797181.0094952343</v>
      </c>
    </row>
    <row r="53" spans="1:33" x14ac:dyDescent="0.2">
      <c r="A53" s="1" t="s">
        <v>47</v>
      </c>
      <c r="B53" s="1"/>
      <c r="C53" s="15">
        <f>IRR(C51:AG51)</f>
        <v>0.28154111854131125</v>
      </c>
    </row>
    <row r="55" spans="1:33" x14ac:dyDescent="0.2">
      <c r="A55" t="s">
        <v>48</v>
      </c>
      <c r="C55" s="11">
        <f>C44</f>
        <v>8039640.7788413335</v>
      </c>
    </row>
    <row r="56" spans="1:33" x14ac:dyDescent="0.2">
      <c r="A56" t="s">
        <v>49</v>
      </c>
      <c r="C56" s="3">
        <f>C50</f>
        <v>520359.22115866654</v>
      </c>
    </row>
    <row r="57" spans="1:33" x14ac:dyDescent="0.2">
      <c r="A57" s="1" t="s">
        <v>50</v>
      </c>
      <c r="B57" s="1"/>
      <c r="C57" s="13">
        <f>C55/C56</f>
        <v>15.450174517787412</v>
      </c>
    </row>
    <row r="59" spans="1:33" x14ac:dyDescent="0.2">
      <c r="A59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ED80-9E83-4A21-A13B-ADE08EC01E38}">
  <dimension ref="A1:AG44"/>
  <sheetViews>
    <sheetView topLeftCell="A12" zoomScale="103" zoomScaleNormal="110" workbookViewId="0">
      <selection activeCell="I25" sqref="I25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(5*1000000*I4)</f>
        <v>9200000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9200000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5*1000000*K4</f>
        <v>100000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19">
        <f>+[1]Parameters!E14</f>
        <v>6665.5720000000001</v>
      </c>
      <c r="D13" t="s">
        <v>54</v>
      </c>
      <c r="E13" t="s">
        <v>59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5999.0147999999999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3">
        <v>126.50288322493967</v>
      </c>
      <c r="D19" t="s">
        <v>19</v>
      </c>
      <c r="E19" t="s">
        <v>85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5999.0147999999999</v>
      </c>
      <c r="E26" s="8">
        <f>D26*(1-C15/100)</f>
        <v>5951.0226815999995</v>
      </c>
      <c r="F26" s="8">
        <f>E26*(1-$C$16/100)</f>
        <v>5921.2675681919991</v>
      </c>
      <c r="G26" s="8">
        <f t="shared" ref="G26:AG26" si="2">F26*(1-$C$16/100)</f>
        <v>5891.6612303510392</v>
      </c>
      <c r="H26" s="8">
        <f t="shared" si="2"/>
        <v>5862.2029241992841</v>
      </c>
      <c r="I26" s="8">
        <f t="shared" si="2"/>
        <v>5832.8919095782876</v>
      </c>
      <c r="J26" s="8">
        <f t="shared" si="2"/>
        <v>5803.7274500303965</v>
      </c>
      <c r="K26" s="8">
        <f t="shared" si="2"/>
        <v>5774.7088127802444</v>
      </c>
      <c r="L26" s="8">
        <f t="shared" si="2"/>
        <v>5745.8352687163433</v>
      </c>
      <c r="M26" s="8">
        <f t="shared" si="2"/>
        <v>5717.1060923727619</v>
      </c>
      <c r="N26" s="8">
        <f t="shared" si="2"/>
        <v>5688.5205619108983</v>
      </c>
      <c r="O26" s="8">
        <f t="shared" si="2"/>
        <v>5660.0779591013434</v>
      </c>
      <c r="P26" s="8">
        <f t="shared" si="2"/>
        <v>5631.7775693058366</v>
      </c>
      <c r="Q26" s="8">
        <f t="shared" si="2"/>
        <v>5603.6186814593075</v>
      </c>
      <c r="R26" s="8">
        <f t="shared" si="2"/>
        <v>5575.6005880520106</v>
      </c>
      <c r="S26" s="8">
        <f t="shared" si="2"/>
        <v>5547.722585111751</v>
      </c>
      <c r="T26" s="8">
        <f t="shared" si="2"/>
        <v>5519.9839721861917</v>
      </c>
      <c r="U26" s="8">
        <f t="shared" si="2"/>
        <v>5492.3840523252611</v>
      </c>
      <c r="V26" s="8">
        <f t="shared" si="2"/>
        <v>5464.9221320636352</v>
      </c>
      <c r="W26" s="8">
        <f t="shared" si="2"/>
        <v>5437.5975214033169</v>
      </c>
      <c r="X26" s="8">
        <f t="shared" si="2"/>
        <v>5410.4095337962999</v>
      </c>
      <c r="Y26" s="8">
        <f t="shared" si="2"/>
        <v>5383.3574861273182</v>
      </c>
      <c r="Z26" s="8">
        <f t="shared" si="2"/>
        <v>5356.4406986966815</v>
      </c>
      <c r="AA26" s="8">
        <f t="shared" si="2"/>
        <v>5329.6584952031981</v>
      </c>
      <c r="AB26" s="8">
        <f t="shared" si="2"/>
        <v>5303.0102027271823</v>
      </c>
      <c r="AC26" s="8">
        <f t="shared" si="2"/>
        <v>5276.495151713546</v>
      </c>
      <c r="AD26" s="8">
        <f t="shared" si="2"/>
        <v>5250.1126759549779</v>
      </c>
      <c r="AE26" s="8">
        <f t="shared" si="2"/>
        <v>5223.8621125752034</v>
      </c>
      <c r="AF26" s="8">
        <f t="shared" si="2"/>
        <v>5197.742802012327</v>
      </c>
      <c r="AG26" s="8">
        <f t="shared" si="2"/>
        <v>5171.7540880022652</v>
      </c>
    </row>
    <row r="27" spans="1:33" s="8" customFormat="1" x14ac:dyDescent="0.2">
      <c r="A27" s="8" t="s">
        <v>27</v>
      </c>
      <c r="D27" s="8">
        <f>(1-$C$17/100)*D26</f>
        <v>5999.0147999999999</v>
      </c>
      <c r="E27" s="8">
        <f t="shared" ref="E27:AG27" si="3">(1-$C$17/100)*E26</f>
        <v>5951.0226815999995</v>
      </c>
      <c r="F27" s="8">
        <f t="shared" si="3"/>
        <v>5921.2675681919991</v>
      </c>
      <c r="G27" s="8">
        <f t="shared" si="3"/>
        <v>5891.6612303510392</v>
      </c>
      <c r="H27" s="8">
        <f t="shared" si="3"/>
        <v>5862.2029241992841</v>
      </c>
      <c r="I27" s="8">
        <f t="shared" si="3"/>
        <v>5832.8919095782876</v>
      </c>
      <c r="J27" s="8">
        <f t="shared" si="3"/>
        <v>5803.7274500303965</v>
      </c>
      <c r="K27" s="8">
        <f t="shared" si="3"/>
        <v>5774.7088127802444</v>
      </c>
      <c r="L27" s="8">
        <f t="shared" si="3"/>
        <v>5745.8352687163433</v>
      </c>
      <c r="M27" s="8">
        <f t="shared" si="3"/>
        <v>5717.1060923727619</v>
      </c>
      <c r="N27" s="8">
        <f t="shared" si="3"/>
        <v>5688.5205619108983</v>
      </c>
      <c r="O27" s="8">
        <f t="shared" si="3"/>
        <v>5660.0779591013434</v>
      </c>
      <c r="P27" s="8">
        <f t="shared" si="3"/>
        <v>5631.7775693058366</v>
      </c>
      <c r="Q27" s="8">
        <f t="shared" si="3"/>
        <v>5603.6186814593075</v>
      </c>
      <c r="R27" s="8">
        <f t="shared" si="3"/>
        <v>5575.6005880520106</v>
      </c>
      <c r="S27" s="8">
        <f t="shared" si="3"/>
        <v>5547.722585111751</v>
      </c>
      <c r="T27" s="8">
        <f t="shared" si="3"/>
        <v>5519.9839721861917</v>
      </c>
      <c r="U27" s="8">
        <f t="shared" si="3"/>
        <v>5492.3840523252611</v>
      </c>
      <c r="V27" s="8">
        <f t="shared" si="3"/>
        <v>5464.9221320636352</v>
      </c>
      <c r="W27" s="8">
        <f t="shared" si="3"/>
        <v>5437.5975214033169</v>
      </c>
      <c r="X27" s="8">
        <f t="shared" si="3"/>
        <v>5410.4095337962999</v>
      </c>
      <c r="Y27" s="8">
        <f t="shared" si="3"/>
        <v>5383.3574861273182</v>
      </c>
      <c r="Z27" s="8">
        <f t="shared" si="3"/>
        <v>5356.4406986966815</v>
      </c>
      <c r="AA27" s="8">
        <f t="shared" si="3"/>
        <v>5329.6584952031981</v>
      </c>
      <c r="AB27" s="8">
        <f t="shared" si="3"/>
        <v>5303.0102027271823</v>
      </c>
      <c r="AC27" s="8">
        <f t="shared" si="3"/>
        <v>5276.495151713546</v>
      </c>
      <c r="AD27" s="8">
        <f t="shared" si="3"/>
        <v>5250.1126759549779</v>
      </c>
      <c r="AE27" s="8">
        <f t="shared" si="3"/>
        <v>5223.8621125752034</v>
      </c>
      <c r="AF27" s="8">
        <f t="shared" si="3"/>
        <v>5197.742802012327</v>
      </c>
      <c r="AG27" s="8">
        <f t="shared" si="3"/>
        <v>5171.7540880022652</v>
      </c>
    </row>
    <row r="29" spans="1:33" x14ac:dyDescent="0.2">
      <c r="A29" t="s">
        <v>28</v>
      </c>
      <c r="D29" s="3">
        <f>C19</f>
        <v>126.50288322493967</v>
      </c>
      <c r="E29" s="3">
        <f>D29*(1+$C$20/100)</f>
        <v>129.03294088943846</v>
      </c>
      <c r="F29" s="3">
        <f t="shared" ref="F29:AG29" si="4">E29*(1+$C$20/100)</f>
        <v>131.61359970722722</v>
      </c>
      <c r="G29" s="3">
        <f t="shared" si="4"/>
        <v>134.24587170137178</v>
      </c>
      <c r="H29" s="3">
        <f t="shared" si="4"/>
        <v>136.93078913539921</v>
      </c>
      <c r="I29" s="3">
        <f t="shared" si="4"/>
        <v>139.6694049181072</v>
      </c>
      <c r="J29" s="3">
        <f t="shared" si="4"/>
        <v>142.46279301646936</v>
      </c>
      <c r="K29" s="3">
        <f t="shared" si="4"/>
        <v>145.31204887679874</v>
      </c>
      <c r="L29" s="3">
        <f t="shared" si="4"/>
        <v>148.21828985433473</v>
      </c>
      <c r="M29" s="3">
        <f t="shared" si="4"/>
        <v>151.18265565142141</v>
      </c>
      <c r="N29" s="3">
        <f t="shared" si="4"/>
        <v>154.20630876444986</v>
      </c>
      <c r="O29" s="3">
        <f t="shared" si="4"/>
        <v>157.29043493973884</v>
      </c>
      <c r="P29" s="3">
        <f t="shared" si="4"/>
        <v>160.43624363853363</v>
      </c>
      <c r="Q29" s="3">
        <f t="shared" si="4"/>
        <v>163.64496851130431</v>
      </c>
      <c r="R29" s="3">
        <f t="shared" si="4"/>
        <v>166.91786788153041</v>
      </c>
      <c r="S29" s="3">
        <f t="shared" si="4"/>
        <v>170.25622523916101</v>
      </c>
      <c r="T29" s="3">
        <f t="shared" si="4"/>
        <v>173.66134974394424</v>
      </c>
      <c r="U29" s="3">
        <f t="shared" si="4"/>
        <v>177.13457673882314</v>
      </c>
      <c r="V29" s="3">
        <f t="shared" si="4"/>
        <v>180.67726827359959</v>
      </c>
      <c r="W29" s="3">
        <f t="shared" si="4"/>
        <v>184.29081363907159</v>
      </c>
      <c r="X29" s="3">
        <f t="shared" si="4"/>
        <v>187.97662991185302</v>
      </c>
      <c r="Y29" s="3">
        <f t="shared" si="4"/>
        <v>191.73616251009008</v>
      </c>
      <c r="Z29" s="3">
        <f t="shared" si="4"/>
        <v>195.5708857602919</v>
      </c>
      <c r="AA29" s="3">
        <f t="shared" si="4"/>
        <v>199.48230347549773</v>
      </c>
      <c r="AB29" s="3">
        <f t="shared" si="4"/>
        <v>203.47194954500767</v>
      </c>
      <c r="AC29" s="3">
        <f t="shared" si="4"/>
        <v>207.54138853590783</v>
      </c>
      <c r="AD29" s="3">
        <f t="shared" si="4"/>
        <v>211.69221630662599</v>
      </c>
      <c r="AE29" s="3">
        <f t="shared" si="4"/>
        <v>215.92606063275852</v>
      </c>
      <c r="AF29" s="3">
        <f t="shared" si="4"/>
        <v>220.24458184541371</v>
      </c>
      <c r="AG29" s="3">
        <f t="shared" si="4"/>
        <v>224.64947348232198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758892.66870908474</v>
      </c>
      <c r="E33" s="3">
        <f t="shared" ref="E33:AG33" si="6">E29*E27</f>
        <v>767877.95790660032</v>
      </c>
      <c r="F33" s="3">
        <f t="shared" si="6"/>
        <v>779319.33947940858</v>
      </c>
      <c r="G33" s="3">
        <f t="shared" si="6"/>
        <v>790931.19763765181</v>
      </c>
      <c r="H33" s="3">
        <f t="shared" si="6"/>
        <v>802716.07248245284</v>
      </c>
      <c r="I33" s="3">
        <f t="shared" si="6"/>
        <v>814676.54196244141</v>
      </c>
      <c r="J33" s="3">
        <f t="shared" si="6"/>
        <v>826815.22243768186</v>
      </c>
      <c r="K33" s="3">
        <f t="shared" si="6"/>
        <v>839134.76925200329</v>
      </c>
      <c r="L33" s="3">
        <f t="shared" si="6"/>
        <v>851637.87731385825</v>
      </c>
      <c r="M33" s="3">
        <f t="shared" si="6"/>
        <v>864327.28168583475</v>
      </c>
      <c r="N33" s="3">
        <f t="shared" si="6"/>
        <v>877205.75818295381</v>
      </c>
      <c r="O33" s="3">
        <f t="shared" si="6"/>
        <v>890276.12397987966</v>
      </c>
      <c r="P33" s="3">
        <f t="shared" si="6"/>
        <v>903541.23822717986</v>
      </c>
      <c r="Q33" s="3">
        <f t="shared" si="6"/>
        <v>917004.00267676497</v>
      </c>
      <c r="R33" s="3">
        <f t="shared" si="6"/>
        <v>930667.36231664883</v>
      </c>
      <c r="S33" s="3">
        <f t="shared" si="6"/>
        <v>944534.30601516692</v>
      </c>
      <c r="T33" s="3">
        <f t="shared" si="6"/>
        <v>958607.8671747928</v>
      </c>
      <c r="U33" s="3">
        <f t="shared" si="6"/>
        <v>972891.12439569738</v>
      </c>
      <c r="V33" s="3">
        <f t="shared" si="6"/>
        <v>987387.20214919327</v>
      </c>
      <c r="W33" s="3">
        <f t="shared" si="6"/>
        <v>1002099.2714612163</v>
      </c>
      <c r="X33" s="3">
        <f t="shared" si="6"/>
        <v>1017030.5506059884</v>
      </c>
      <c r="Y33" s="3">
        <f t="shared" si="6"/>
        <v>1032184.3058100175</v>
      </c>
      <c r="Z33" s="3">
        <f t="shared" si="6"/>
        <v>1047563.8519665868</v>
      </c>
      <c r="AA33" s="3">
        <f t="shared" si="6"/>
        <v>1063172.553360889</v>
      </c>
      <c r="AB33" s="3">
        <f t="shared" si="6"/>
        <v>1079013.8244059661</v>
      </c>
      <c r="AC33" s="3">
        <f t="shared" si="6"/>
        <v>1095091.130389615</v>
      </c>
      <c r="AD33" s="3">
        <f t="shared" si="6"/>
        <v>1111407.9882324203</v>
      </c>
      <c r="AE33" s="3">
        <f t="shared" si="6"/>
        <v>1127967.9672570834</v>
      </c>
      <c r="AF33" s="3">
        <f t="shared" si="6"/>
        <v>1144774.6899692139</v>
      </c>
      <c r="AG33" s="3">
        <f t="shared" si="6"/>
        <v>1161831.8328497552</v>
      </c>
    </row>
    <row r="34" spans="1:33" x14ac:dyDescent="0.2">
      <c r="A34" t="s">
        <v>32</v>
      </c>
      <c r="D34" s="3">
        <f>-C6</f>
        <v>-100000</v>
      </c>
      <c r="E34" s="3">
        <f>$D$34*E24</f>
        <v>-103099.99999999999</v>
      </c>
      <c r="F34" s="3">
        <f t="shared" ref="F34:AG34" si="7">$D$34*F24</f>
        <v>-106296.09999999998</v>
      </c>
      <c r="G34" s="3">
        <f t="shared" si="7"/>
        <v>-109591.27909999997</v>
      </c>
      <c r="H34" s="3">
        <f t="shared" si="7"/>
        <v>-112988.60875209997</v>
      </c>
      <c r="I34" s="3">
        <f t="shared" si="7"/>
        <v>-116491.25562341507</v>
      </c>
      <c r="J34" s="3">
        <f t="shared" si="7"/>
        <v>-120102.48454774093</v>
      </c>
      <c r="K34" s="3">
        <f t="shared" si="7"/>
        <v>-123825.66156872088</v>
      </c>
      <c r="L34" s="3">
        <f t="shared" si="7"/>
        <v>-127664.25707735123</v>
      </c>
      <c r="M34" s="3">
        <f t="shared" si="7"/>
        <v>-131621.84904674909</v>
      </c>
      <c r="N34" s="3">
        <f t="shared" si="7"/>
        <v>-135702.1263671983</v>
      </c>
      <c r="O34" s="3">
        <f t="shared" si="7"/>
        <v>-139908.89228458147</v>
      </c>
      <c r="P34" s="3">
        <f t="shared" si="7"/>
        <v>-144246.06794540348</v>
      </c>
      <c r="Q34" s="3">
        <f t="shared" si="7"/>
        <v>-148717.69605171098</v>
      </c>
      <c r="R34" s="3">
        <f t="shared" si="7"/>
        <v>-153327.94462931401</v>
      </c>
      <c r="S34" s="3">
        <f t="shared" si="7"/>
        <v>-158081.11091282274</v>
      </c>
      <c r="T34" s="3">
        <f t="shared" si="7"/>
        <v>-162981.62535112025</v>
      </c>
      <c r="U34" s="3">
        <f t="shared" si="7"/>
        <v>-168034.05573700496</v>
      </c>
      <c r="V34" s="3">
        <f t="shared" si="7"/>
        <v>-173243.11146485209</v>
      </c>
      <c r="W34" s="3">
        <f t="shared" si="7"/>
        <v>-178613.64792026248</v>
      </c>
      <c r="X34" s="3">
        <f t="shared" si="7"/>
        <v>-184150.67100579065</v>
      </c>
      <c r="Y34" s="3">
        <f t="shared" si="7"/>
        <v>-189859.34180697013</v>
      </c>
      <c r="Z34" s="3">
        <f t="shared" si="7"/>
        <v>-195744.98140298619</v>
      </c>
      <c r="AA34" s="3">
        <f t="shared" si="7"/>
        <v>-201813.07582647877</v>
      </c>
      <c r="AB34" s="3">
        <f t="shared" si="7"/>
        <v>-208069.28117709956</v>
      </c>
      <c r="AC34" s="3">
        <f t="shared" si="7"/>
        <v>-214519.42889358965</v>
      </c>
      <c r="AD34" s="3">
        <f t="shared" si="7"/>
        <v>-221169.53118929089</v>
      </c>
      <c r="AE34" s="3">
        <f t="shared" si="7"/>
        <v>-228025.78665615895</v>
      </c>
      <c r="AF34" s="3">
        <f t="shared" si="7"/>
        <v>-235094.58604249987</v>
      </c>
      <c r="AG34" s="3">
        <f t="shared" si="7"/>
        <v>-242382.51820981732</v>
      </c>
    </row>
    <row r="35" spans="1:33" x14ac:dyDescent="0.2">
      <c r="A35" t="s">
        <v>33</v>
      </c>
      <c r="D35" s="3">
        <f>D33+D34</f>
        <v>658892.66870908474</v>
      </c>
      <c r="E35" s="3">
        <f t="shared" ref="E35:AG35" si="8">E33+E34</f>
        <v>664777.95790660032</v>
      </c>
      <c r="F35" s="3">
        <f t="shared" si="8"/>
        <v>673023.2394794086</v>
      </c>
      <c r="G35" s="3">
        <f t="shared" si="8"/>
        <v>681339.91853765189</v>
      </c>
      <c r="H35" s="3">
        <f t="shared" si="8"/>
        <v>689727.46373035293</v>
      </c>
      <c r="I35" s="3">
        <f t="shared" si="8"/>
        <v>698185.28633902629</v>
      </c>
      <c r="J35" s="3">
        <f t="shared" si="8"/>
        <v>706712.73788994097</v>
      </c>
      <c r="K35" s="3">
        <f t="shared" si="8"/>
        <v>715309.10768328235</v>
      </c>
      <c r="L35" s="3">
        <f t="shared" si="8"/>
        <v>723973.62023650703</v>
      </c>
      <c r="M35" s="3">
        <f t="shared" si="8"/>
        <v>732705.43263908569</v>
      </c>
      <c r="N35" s="3">
        <f t="shared" si="8"/>
        <v>741503.63181575551</v>
      </c>
      <c r="O35" s="3">
        <f t="shared" si="8"/>
        <v>750367.23169529822</v>
      </c>
      <c r="P35" s="3">
        <f t="shared" si="8"/>
        <v>759295.17028177634</v>
      </c>
      <c r="Q35" s="3">
        <f t="shared" si="8"/>
        <v>768286.30662505399</v>
      </c>
      <c r="R35" s="3">
        <f t="shared" si="8"/>
        <v>777339.41768733482</v>
      </c>
      <c r="S35" s="3">
        <f t="shared" si="8"/>
        <v>786453.19510234415</v>
      </c>
      <c r="T35" s="3">
        <f t="shared" si="8"/>
        <v>795626.24182367255</v>
      </c>
      <c r="U35" s="3">
        <f t="shared" si="8"/>
        <v>804857.06865869241</v>
      </c>
      <c r="V35" s="3">
        <f t="shared" si="8"/>
        <v>814144.09068434115</v>
      </c>
      <c r="W35" s="3">
        <f t="shared" si="8"/>
        <v>823485.62354095373</v>
      </c>
      <c r="X35" s="3">
        <f t="shared" si="8"/>
        <v>832879.87960019778</v>
      </c>
      <c r="Y35" s="3">
        <f t="shared" si="8"/>
        <v>842324.96400304744</v>
      </c>
      <c r="Z35" s="3">
        <f t="shared" si="8"/>
        <v>851818.87056360056</v>
      </c>
      <c r="AA35" s="3">
        <f t="shared" si="8"/>
        <v>861359.47753441019</v>
      </c>
      <c r="AB35" s="3">
        <f t="shared" si="8"/>
        <v>870944.54322886653</v>
      </c>
      <c r="AC35" s="3">
        <f t="shared" si="8"/>
        <v>880571.70149602531</v>
      </c>
      <c r="AD35" s="3">
        <f t="shared" si="8"/>
        <v>890238.45704312937</v>
      </c>
      <c r="AE35" s="3">
        <f t="shared" si="8"/>
        <v>899942.18060092442</v>
      </c>
      <c r="AF35" s="3">
        <f t="shared" si="8"/>
        <v>909680.10392671404</v>
      </c>
      <c r="AG35" s="3">
        <f t="shared" si="8"/>
        <v>919449.31463993783</v>
      </c>
    </row>
    <row r="37" spans="1:33" x14ac:dyDescent="0.2">
      <c r="A37" t="s">
        <v>34</v>
      </c>
      <c r="C37" s="3">
        <f>-C5</f>
        <v>-9200000</v>
      </c>
    </row>
    <row r="39" spans="1:33" x14ac:dyDescent="0.2">
      <c r="A39" t="s">
        <v>45</v>
      </c>
      <c r="C39" s="3">
        <f>C37+C35</f>
        <v>-9200000</v>
      </c>
      <c r="D39" s="3">
        <f t="shared" ref="D39:AG39" si="9">D37+D35</f>
        <v>658892.66870908474</v>
      </c>
      <c r="E39" s="3">
        <f t="shared" si="9"/>
        <v>664777.95790660032</v>
      </c>
      <c r="F39" s="3">
        <f t="shared" si="9"/>
        <v>673023.2394794086</v>
      </c>
      <c r="G39" s="3">
        <f t="shared" si="9"/>
        <v>681339.91853765189</v>
      </c>
      <c r="H39" s="3">
        <f t="shared" si="9"/>
        <v>689727.46373035293</v>
      </c>
      <c r="I39" s="3">
        <f t="shared" si="9"/>
        <v>698185.28633902629</v>
      </c>
      <c r="J39" s="3">
        <f t="shared" si="9"/>
        <v>706712.73788994097</v>
      </c>
      <c r="K39" s="3">
        <f t="shared" si="9"/>
        <v>715309.10768328235</v>
      </c>
      <c r="L39" s="3">
        <f t="shared" si="9"/>
        <v>723973.62023650703</v>
      </c>
      <c r="M39" s="3">
        <f t="shared" si="9"/>
        <v>732705.43263908569</v>
      </c>
      <c r="N39" s="3">
        <f t="shared" si="9"/>
        <v>741503.63181575551</v>
      </c>
      <c r="O39" s="3">
        <f t="shared" si="9"/>
        <v>750367.23169529822</v>
      </c>
      <c r="P39" s="3">
        <f t="shared" si="9"/>
        <v>759295.17028177634</v>
      </c>
      <c r="Q39" s="3">
        <f t="shared" si="9"/>
        <v>768286.30662505399</v>
      </c>
      <c r="R39" s="3">
        <f t="shared" si="9"/>
        <v>777339.41768733482</v>
      </c>
      <c r="S39" s="3">
        <f t="shared" si="9"/>
        <v>786453.19510234415</v>
      </c>
      <c r="T39" s="3">
        <f t="shared" si="9"/>
        <v>795626.24182367255</v>
      </c>
      <c r="U39" s="3">
        <f t="shared" si="9"/>
        <v>804857.06865869241</v>
      </c>
      <c r="V39" s="3">
        <f t="shared" si="9"/>
        <v>814144.09068434115</v>
      </c>
      <c r="W39" s="3">
        <f t="shared" si="9"/>
        <v>823485.62354095373</v>
      </c>
      <c r="X39" s="3">
        <f t="shared" si="9"/>
        <v>832879.87960019778</v>
      </c>
      <c r="Y39" s="3">
        <f t="shared" si="9"/>
        <v>842324.96400304744</v>
      </c>
      <c r="Z39" s="3">
        <f t="shared" si="9"/>
        <v>851818.87056360056</v>
      </c>
      <c r="AA39" s="3">
        <f t="shared" si="9"/>
        <v>861359.47753441019</v>
      </c>
      <c r="AB39" s="3">
        <f t="shared" si="9"/>
        <v>870944.54322886653</v>
      </c>
      <c r="AC39" s="3">
        <f t="shared" si="9"/>
        <v>880571.70149602531</v>
      </c>
      <c r="AD39" s="3">
        <f t="shared" si="9"/>
        <v>890238.45704312937</v>
      </c>
      <c r="AE39" s="3">
        <f t="shared" si="9"/>
        <v>899942.18060092442</v>
      </c>
      <c r="AF39" s="3">
        <f t="shared" si="9"/>
        <v>909680.10392671404</v>
      </c>
      <c r="AG39" s="3">
        <f t="shared" si="9"/>
        <v>919449.31463993783</v>
      </c>
    </row>
    <row r="40" spans="1:33" x14ac:dyDescent="0.2">
      <c r="A40" s="1" t="s">
        <v>35</v>
      </c>
      <c r="B40" s="1"/>
      <c r="C40" s="12">
        <f>NPV(C10/100,C39:AG39)</f>
        <v>3.6311788467046253E-9</v>
      </c>
    </row>
    <row r="41" spans="1:33" x14ac:dyDescent="0.2">
      <c r="A41" s="1" t="s">
        <v>36</v>
      </c>
      <c r="B41" s="1"/>
      <c r="C41" s="15">
        <f>IRR(C39:AG39)</f>
        <v>7.0000000000000284E-2</v>
      </c>
    </row>
    <row r="44" spans="1:33" x14ac:dyDescent="0.2">
      <c r="A44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439B-B3C5-450C-AE94-E10348A56A02}">
  <dimension ref="A1:AG59"/>
  <sheetViews>
    <sheetView topLeftCell="A19" zoomScale="103" zoomScaleNormal="110" workbookViewId="0">
      <selection activeCell="D40" sqref="D40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(5*1000000*H4)</f>
        <v>8560000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8560000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5*1000000*J4</f>
        <v>65000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19">
        <f>+[2]Parameters!E10</f>
        <v>6310.5659999999998</v>
      </c>
      <c r="D13" t="s">
        <v>54</v>
      </c>
      <c r="E13" t="s">
        <v>59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5679.5093999999999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3">
        <v>118.41522750564796</v>
      </c>
      <c r="D19" t="s">
        <v>19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5679.5093999999999</v>
      </c>
      <c r="E26" s="8">
        <f>D26*(1-C15/100)</f>
        <v>5634.0733247999997</v>
      </c>
      <c r="F26" s="8">
        <f>E26*(1-$C$16/100)</f>
        <v>5605.9029581759996</v>
      </c>
      <c r="G26" s="8">
        <f t="shared" ref="G26:AG26" si="2">F26*(1-$C$16/100)</f>
        <v>5577.8734433851196</v>
      </c>
      <c r="H26" s="8">
        <f t="shared" si="2"/>
        <v>5549.9840761681935</v>
      </c>
      <c r="I26" s="8">
        <f t="shared" si="2"/>
        <v>5522.2341557873524</v>
      </c>
      <c r="J26" s="8">
        <f t="shared" si="2"/>
        <v>5494.6229850084155</v>
      </c>
      <c r="K26" s="8">
        <f t="shared" si="2"/>
        <v>5467.1498700833736</v>
      </c>
      <c r="L26" s="8">
        <f t="shared" si="2"/>
        <v>5439.8141207329563</v>
      </c>
      <c r="M26" s="8">
        <f t="shared" si="2"/>
        <v>5412.6150501292914</v>
      </c>
      <c r="N26" s="8">
        <f t="shared" si="2"/>
        <v>5385.5519748786446</v>
      </c>
      <c r="O26" s="8">
        <f t="shared" si="2"/>
        <v>5358.6242150042517</v>
      </c>
      <c r="P26" s="8">
        <f t="shared" si="2"/>
        <v>5331.8310939292305</v>
      </c>
      <c r="Q26" s="8">
        <f t="shared" si="2"/>
        <v>5305.1719384595845</v>
      </c>
      <c r="R26" s="8">
        <f t="shared" si="2"/>
        <v>5278.6460787672868</v>
      </c>
      <c r="S26" s="8">
        <f t="shared" si="2"/>
        <v>5252.2528483734504</v>
      </c>
      <c r="T26" s="8">
        <f t="shared" si="2"/>
        <v>5225.9915841315833</v>
      </c>
      <c r="U26" s="8">
        <f t="shared" si="2"/>
        <v>5199.8616262109254</v>
      </c>
      <c r="V26" s="8">
        <f t="shared" si="2"/>
        <v>5173.8623180798704</v>
      </c>
      <c r="W26" s="8">
        <f t="shared" si="2"/>
        <v>5147.9930064894706</v>
      </c>
      <c r="X26" s="8">
        <f t="shared" si="2"/>
        <v>5122.2530414570228</v>
      </c>
      <c r="Y26" s="8">
        <f t="shared" si="2"/>
        <v>5096.6417762497376</v>
      </c>
      <c r="Z26" s="8">
        <f t="shared" si="2"/>
        <v>5071.1585673684885</v>
      </c>
      <c r="AA26" s="8">
        <f t="shared" si="2"/>
        <v>5045.8027745316458</v>
      </c>
      <c r="AB26" s="8">
        <f t="shared" si="2"/>
        <v>5020.5737606589873</v>
      </c>
      <c r="AC26" s="8">
        <f t="shared" si="2"/>
        <v>4995.4708918556926</v>
      </c>
      <c r="AD26" s="8">
        <f t="shared" si="2"/>
        <v>4970.4935373964145</v>
      </c>
      <c r="AE26" s="8">
        <f t="shared" si="2"/>
        <v>4945.6410697094325</v>
      </c>
      <c r="AF26" s="8">
        <f t="shared" si="2"/>
        <v>4920.9128643608856</v>
      </c>
      <c r="AG26" s="8">
        <f t="shared" si="2"/>
        <v>4896.3083000390807</v>
      </c>
    </row>
    <row r="27" spans="1:33" s="8" customFormat="1" x14ac:dyDescent="0.2">
      <c r="A27" s="8" t="s">
        <v>27</v>
      </c>
      <c r="D27" s="8">
        <f>(1-$C$17/100)*D26</f>
        <v>5679.5093999999999</v>
      </c>
      <c r="E27" s="8">
        <f t="shared" ref="E27:AG27" si="3">(1-$C$17/100)*E26</f>
        <v>5634.0733247999997</v>
      </c>
      <c r="F27" s="8">
        <f t="shared" si="3"/>
        <v>5605.9029581759996</v>
      </c>
      <c r="G27" s="8">
        <f t="shared" si="3"/>
        <v>5577.8734433851196</v>
      </c>
      <c r="H27" s="8">
        <f t="shared" si="3"/>
        <v>5549.9840761681935</v>
      </c>
      <c r="I27" s="8">
        <f t="shared" si="3"/>
        <v>5522.2341557873524</v>
      </c>
      <c r="J27" s="8">
        <f t="shared" si="3"/>
        <v>5494.6229850084155</v>
      </c>
      <c r="K27" s="8">
        <f t="shared" si="3"/>
        <v>5467.1498700833736</v>
      </c>
      <c r="L27" s="8">
        <f t="shared" si="3"/>
        <v>5439.8141207329563</v>
      </c>
      <c r="M27" s="8">
        <f t="shared" si="3"/>
        <v>5412.6150501292914</v>
      </c>
      <c r="N27" s="8">
        <f t="shared" si="3"/>
        <v>5385.5519748786446</v>
      </c>
      <c r="O27" s="8">
        <f t="shared" si="3"/>
        <v>5358.6242150042517</v>
      </c>
      <c r="P27" s="8">
        <f t="shared" si="3"/>
        <v>5331.8310939292305</v>
      </c>
      <c r="Q27" s="8">
        <f t="shared" si="3"/>
        <v>5305.1719384595845</v>
      </c>
      <c r="R27" s="8">
        <f t="shared" si="3"/>
        <v>5278.6460787672868</v>
      </c>
      <c r="S27" s="8">
        <f t="shared" si="3"/>
        <v>5252.2528483734504</v>
      </c>
      <c r="T27" s="8">
        <f t="shared" si="3"/>
        <v>5225.9915841315833</v>
      </c>
      <c r="U27" s="8">
        <f t="shared" si="3"/>
        <v>5199.8616262109254</v>
      </c>
      <c r="V27" s="8">
        <f t="shared" si="3"/>
        <v>5173.8623180798704</v>
      </c>
      <c r="W27" s="8">
        <f t="shared" si="3"/>
        <v>5147.9930064894706</v>
      </c>
      <c r="X27" s="8">
        <f t="shared" si="3"/>
        <v>5122.2530414570228</v>
      </c>
      <c r="Y27" s="8">
        <f t="shared" si="3"/>
        <v>5096.6417762497376</v>
      </c>
      <c r="Z27" s="8">
        <f t="shared" si="3"/>
        <v>5071.1585673684885</v>
      </c>
      <c r="AA27" s="8">
        <f t="shared" si="3"/>
        <v>5045.8027745316458</v>
      </c>
      <c r="AB27" s="8">
        <f t="shared" si="3"/>
        <v>5020.5737606589873</v>
      </c>
      <c r="AC27" s="8">
        <f t="shared" si="3"/>
        <v>4995.4708918556926</v>
      </c>
      <c r="AD27" s="8">
        <f t="shared" si="3"/>
        <v>4970.4935373964145</v>
      </c>
      <c r="AE27" s="8">
        <f t="shared" si="3"/>
        <v>4945.6410697094325</v>
      </c>
      <c r="AF27" s="8">
        <f t="shared" si="3"/>
        <v>4920.9128643608856</v>
      </c>
      <c r="AG27" s="8">
        <f t="shared" si="3"/>
        <v>4896.3083000390807</v>
      </c>
    </row>
    <row r="29" spans="1:33" x14ac:dyDescent="0.2">
      <c r="A29" t="s">
        <v>28</v>
      </c>
      <c r="D29" s="3">
        <f>C19</f>
        <v>118.41522750564796</v>
      </c>
      <c r="E29" s="3">
        <f>D29*(1+$C$20/100)</f>
        <v>120.78353205576093</v>
      </c>
      <c r="F29" s="3">
        <f t="shared" ref="F29:AG29" si="4">E29*(1+$C$20/100)</f>
        <v>123.19920269687616</v>
      </c>
      <c r="G29" s="3">
        <f t="shared" si="4"/>
        <v>125.66318675081368</v>
      </c>
      <c r="H29" s="3">
        <f t="shared" si="4"/>
        <v>128.17645048582995</v>
      </c>
      <c r="I29" s="3">
        <f t="shared" si="4"/>
        <v>130.73997949554655</v>
      </c>
      <c r="J29" s="3">
        <f t="shared" si="4"/>
        <v>133.35477908545749</v>
      </c>
      <c r="K29" s="3">
        <f t="shared" si="4"/>
        <v>136.02187466716666</v>
      </c>
      <c r="L29" s="3">
        <f t="shared" si="4"/>
        <v>138.74231216050998</v>
      </c>
      <c r="M29" s="3">
        <f t="shared" si="4"/>
        <v>141.51715840372017</v>
      </c>
      <c r="N29" s="3">
        <f t="shared" si="4"/>
        <v>144.34750157179457</v>
      </c>
      <c r="O29" s="3">
        <f t="shared" si="4"/>
        <v>147.23445160323047</v>
      </c>
      <c r="P29" s="3">
        <f t="shared" si="4"/>
        <v>150.17914063529508</v>
      </c>
      <c r="Q29" s="3">
        <f t="shared" si="4"/>
        <v>153.18272344800098</v>
      </c>
      <c r="R29" s="3">
        <f t="shared" si="4"/>
        <v>156.24637791696099</v>
      </c>
      <c r="S29" s="3">
        <f t="shared" si="4"/>
        <v>159.3713054753002</v>
      </c>
      <c r="T29" s="3">
        <f t="shared" si="4"/>
        <v>162.55873158480622</v>
      </c>
      <c r="U29" s="3">
        <f t="shared" si="4"/>
        <v>165.80990621650236</v>
      </c>
      <c r="V29" s="3">
        <f t="shared" si="4"/>
        <v>169.1261043408324</v>
      </c>
      <c r="W29" s="3">
        <f t="shared" si="4"/>
        <v>172.50862642764906</v>
      </c>
      <c r="X29" s="3">
        <f t="shared" si="4"/>
        <v>175.95879895620206</v>
      </c>
      <c r="Y29" s="3">
        <f t="shared" si="4"/>
        <v>179.4779749353261</v>
      </c>
      <c r="Z29" s="3">
        <f t="shared" si="4"/>
        <v>183.06753443403264</v>
      </c>
      <c r="AA29" s="3">
        <f t="shared" si="4"/>
        <v>186.72888512271328</v>
      </c>
      <c r="AB29" s="3">
        <f t="shared" si="4"/>
        <v>190.46346282516754</v>
      </c>
      <c r="AC29" s="3">
        <f t="shared" si="4"/>
        <v>194.27273208167088</v>
      </c>
      <c r="AD29" s="3">
        <f t="shared" si="4"/>
        <v>198.15818672330431</v>
      </c>
      <c r="AE29" s="3">
        <f t="shared" si="4"/>
        <v>202.1213504577704</v>
      </c>
      <c r="AF29" s="3">
        <f t="shared" si="4"/>
        <v>206.16377746692581</v>
      </c>
      <c r="AG29" s="3">
        <f t="shared" si="4"/>
        <v>210.28705301626434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672540.39772146614</v>
      </c>
      <c r="E33" s="3">
        <f t="shared" ref="E33:AG33" si="6">E29*E27</f>
        <v>680503.27603048831</v>
      </c>
      <c r="F33" s="3">
        <f t="shared" si="6"/>
        <v>690642.7748433426</v>
      </c>
      <c r="G33" s="3">
        <f t="shared" si="6"/>
        <v>700933.35218850838</v>
      </c>
      <c r="H33" s="3">
        <f t="shared" si="6"/>
        <v>711377.25913611706</v>
      </c>
      <c r="I33" s="3">
        <f t="shared" si="6"/>
        <v>721976.78029724525</v>
      </c>
      <c r="J33" s="3">
        <f t="shared" si="6"/>
        <v>732734.23432367423</v>
      </c>
      <c r="K33" s="3">
        <f t="shared" si="6"/>
        <v>743651.97441509715</v>
      </c>
      <c r="L33" s="3">
        <f t="shared" si="6"/>
        <v>754732.38883388194</v>
      </c>
      <c r="M33" s="3">
        <f t="shared" si="6"/>
        <v>765977.9014275067</v>
      </c>
      <c r="N33" s="3">
        <f t="shared" si="6"/>
        <v>777390.97215877648</v>
      </c>
      <c r="O33" s="3">
        <f t="shared" si="6"/>
        <v>788974.09764394234</v>
      </c>
      <c r="P33" s="3">
        <f t="shared" si="6"/>
        <v>800729.81169883709</v>
      </c>
      <c r="Q33" s="3">
        <f t="shared" si="6"/>
        <v>812660.68589314981</v>
      </c>
      <c r="R33" s="3">
        <f t="shared" si="6"/>
        <v>824769.33011295774</v>
      </c>
      <c r="S33" s="3">
        <f t="shared" si="6"/>
        <v>837058.39313164074</v>
      </c>
      <c r="T33" s="3">
        <f t="shared" si="6"/>
        <v>849530.56318930234</v>
      </c>
      <c r="U33" s="3">
        <f t="shared" si="6"/>
        <v>862188.5685808229</v>
      </c>
      <c r="V33" s="3">
        <f t="shared" si="6"/>
        <v>875035.1782526772</v>
      </c>
      <c r="W33" s="3">
        <f t="shared" si="6"/>
        <v>888073.20240864204</v>
      </c>
      <c r="X33" s="3">
        <f t="shared" si="6"/>
        <v>901305.49312453077</v>
      </c>
      <c r="Y33" s="3">
        <f t="shared" si="6"/>
        <v>914734.94497208635</v>
      </c>
      <c r="Z33" s="3">
        <f t="shared" si="6"/>
        <v>928364.49565217039</v>
      </c>
      <c r="AA33" s="3">
        <f t="shared" si="6"/>
        <v>942197.12663738767</v>
      </c>
      <c r="AB33" s="3">
        <f t="shared" si="6"/>
        <v>956235.86382428464</v>
      </c>
      <c r="AC33" s="3">
        <f t="shared" si="6"/>
        <v>970483.7781952665</v>
      </c>
      <c r="AD33" s="3">
        <f t="shared" si="6"/>
        <v>984943.98649037606</v>
      </c>
      <c r="AE33" s="3">
        <f t="shared" si="6"/>
        <v>999619.65188908274</v>
      </c>
      <c r="AF33" s="3">
        <f t="shared" si="6"/>
        <v>1014513.9847022301</v>
      </c>
      <c r="AG33" s="3">
        <f t="shared" si="6"/>
        <v>1029630.2430742932</v>
      </c>
    </row>
    <row r="34" spans="1:33" x14ac:dyDescent="0.2">
      <c r="A34" t="s">
        <v>32</v>
      </c>
      <c r="D34" s="3">
        <f>-C6</f>
        <v>-65000</v>
      </c>
      <c r="E34" s="3">
        <f>$D$34*E24</f>
        <v>-67015</v>
      </c>
      <c r="F34" s="3">
        <f t="shared" ref="F34:AG34" si="7">$D$34*F24</f>
        <v>-69092.464999999982</v>
      </c>
      <c r="G34" s="3">
        <f t="shared" si="7"/>
        <v>-71234.331414999979</v>
      </c>
      <c r="H34" s="3">
        <f t="shared" si="7"/>
        <v>-73442.595688864982</v>
      </c>
      <c r="I34" s="3">
        <f t="shared" si="7"/>
        <v>-75719.3161552198</v>
      </c>
      <c r="J34" s="3">
        <f t="shared" si="7"/>
        <v>-78066.614956031597</v>
      </c>
      <c r="K34" s="3">
        <f t="shared" si="7"/>
        <v>-80486.680019668565</v>
      </c>
      <c r="L34" s="3">
        <f t="shared" si="7"/>
        <v>-82981.767100278303</v>
      </c>
      <c r="M34" s="3">
        <f t="shared" si="7"/>
        <v>-85554.201880386914</v>
      </c>
      <c r="N34" s="3">
        <f t="shared" si="7"/>
        <v>-88206.382138678906</v>
      </c>
      <c r="O34" s="3">
        <f t="shared" si="7"/>
        <v>-90940.77998497794</v>
      </c>
      <c r="P34" s="3">
        <f t="shared" si="7"/>
        <v>-93759.944164512272</v>
      </c>
      <c r="Q34" s="3">
        <f t="shared" si="7"/>
        <v>-96666.502433612142</v>
      </c>
      <c r="R34" s="3">
        <f t="shared" si="7"/>
        <v>-99663.164009054104</v>
      </c>
      <c r="S34" s="3">
        <f t="shared" si="7"/>
        <v>-102752.72209333477</v>
      </c>
      <c r="T34" s="3">
        <f t="shared" si="7"/>
        <v>-105938.05647822816</v>
      </c>
      <c r="U34" s="3">
        <f t="shared" si="7"/>
        <v>-109222.13622905323</v>
      </c>
      <c r="V34" s="3">
        <f t="shared" si="7"/>
        <v>-112608.02245215386</v>
      </c>
      <c r="W34" s="3">
        <f t="shared" si="7"/>
        <v>-116098.87114817061</v>
      </c>
      <c r="X34" s="3">
        <f t="shared" si="7"/>
        <v>-119697.93615376391</v>
      </c>
      <c r="Y34" s="3">
        <f t="shared" si="7"/>
        <v>-123408.57217453058</v>
      </c>
      <c r="Z34" s="3">
        <f t="shared" si="7"/>
        <v>-127234.23791194103</v>
      </c>
      <c r="AA34" s="3">
        <f t="shared" si="7"/>
        <v>-131178.49928721119</v>
      </c>
      <c r="AB34" s="3">
        <f t="shared" si="7"/>
        <v>-135245.03276511471</v>
      </c>
      <c r="AC34" s="3">
        <f t="shared" si="7"/>
        <v>-139437.62878083327</v>
      </c>
      <c r="AD34" s="3">
        <f t="shared" si="7"/>
        <v>-143760.19527303908</v>
      </c>
      <c r="AE34" s="3">
        <f t="shared" si="7"/>
        <v>-148216.7613265033</v>
      </c>
      <c r="AF34" s="3">
        <f t="shared" si="7"/>
        <v>-152811.48092762491</v>
      </c>
      <c r="AG34" s="3">
        <f t="shared" si="7"/>
        <v>-157548.63683638128</v>
      </c>
    </row>
    <row r="35" spans="1:33" x14ac:dyDescent="0.2">
      <c r="A35" t="s">
        <v>33</v>
      </c>
      <c r="D35" s="3">
        <f>D33+D34</f>
        <v>607540.39772146614</v>
      </c>
      <c r="E35" s="3">
        <f t="shared" ref="E35:AG35" si="8">E33+E34</f>
        <v>613488.27603048831</v>
      </c>
      <c r="F35" s="3">
        <f t="shared" si="8"/>
        <v>621550.30984334263</v>
      </c>
      <c r="G35" s="3">
        <f t="shared" si="8"/>
        <v>629699.02077350835</v>
      </c>
      <c r="H35" s="3">
        <f t="shared" si="8"/>
        <v>637934.66344725213</v>
      </c>
      <c r="I35" s="3">
        <f t="shared" si="8"/>
        <v>646257.46414202545</v>
      </c>
      <c r="J35" s="3">
        <f t="shared" si="8"/>
        <v>654667.61936764268</v>
      </c>
      <c r="K35" s="3">
        <f t="shared" si="8"/>
        <v>663165.29439542862</v>
      </c>
      <c r="L35" s="3">
        <f t="shared" si="8"/>
        <v>671750.62173360365</v>
      </c>
      <c r="M35" s="3">
        <f t="shared" si="8"/>
        <v>680423.69954711979</v>
      </c>
      <c r="N35" s="3">
        <f t="shared" si="8"/>
        <v>689184.59002009756</v>
      </c>
      <c r="O35" s="3">
        <f t="shared" si="8"/>
        <v>698033.31765896443</v>
      </c>
      <c r="P35" s="3">
        <f t="shared" si="8"/>
        <v>706969.86753432476</v>
      </c>
      <c r="Q35" s="3">
        <f t="shared" si="8"/>
        <v>715994.18345953769</v>
      </c>
      <c r="R35" s="3">
        <f t="shared" si="8"/>
        <v>725106.16610390367</v>
      </c>
      <c r="S35" s="3">
        <f t="shared" si="8"/>
        <v>734305.67103830597</v>
      </c>
      <c r="T35" s="3">
        <f t="shared" si="8"/>
        <v>743592.50671107415</v>
      </c>
      <c r="U35" s="3">
        <f t="shared" si="8"/>
        <v>752966.43235176965</v>
      </c>
      <c r="V35" s="3">
        <f t="shared" si="8"/>
        <v>762427.15580052335</v>
      </c>
      <c r="W35" s="3">
        <f t="shared" si="8"/>
        <v>771974.33126047137</v>
      </c>
      <c r="X35" s="3">
        <f t="shared" si="8"/>
        <v>781607.55697076686</v>
      </c>
      <c r="Y35" s="3">
        <f t="shared" si="8"/>
        <v>791326.37279755576</v>
      </c>
      <c r="Z35" s="3">
        <f t="shared" si="8"/>
        <v>801130.25774022937</v>
      </c>
      <c r="AA35" s="3">
        <f t="shared" si="8"/>
        <v>811018.62735017645</v>
      </c>
      <c r="AB35" s="3">
        <f t="shared" si="8"/>
        <v>820990.83105916996</v>
      </c>
      <c r="AC35" s="3">
        <f t="shared" si="8"/>
        <v>831046.14941443317</v>
      </c>
      <c r="AD35" s="3">
        <f t="shared" si="8"/>
        <v>841183.79121733701</v>
      </c>
      <c r="AE35" s="3">
        <f t="shared" si="8"/>
        <v>851402.8905625795</v>
      </c>
      <c r="AF35" s="3">
        <f t="shared" si="8"/>
        <v>861702.50377460523</v>
      </c>
      <c r="AG35" s="3">
        <f t="shared" si="8"/>
        <v>872081.60623791197</v>
      </c>
    </row>
    <row r="37" spans="1:33" x14ac:dyDescent="0.2">
      <c r="A37" t="s">
        <v>34</v>
      </c>
      <c r="C37" s="3">
        <f>-C5</f>
        <v>-8560000</v>
      </c>
    </row>
    <row r="39" spans="1:33" x14ac:dyDescent="0.2">
      <c r="A39" t="s">
        <v>45</v>
      </c>
      <c r="C39" s="3">
        <f>C37+C35</f>
        <v>-8560000</v>
      </c>
      <c r="D39" s="3">
        <f t="shared" ref="D39:AG39" si="9">D37+D35</f>
        <v>607540.39772146614</v>
      </c>
      <c r="E39" s="3">
        <f t="shared" si="9"/>
        <v>613488.27603048831</v>
      </c>
      <c r="F39" s="3">
        <f t="shared" si="9"/>
        <v>621550.30984334263</v>
      </c>
      <c r="G39" s="3">
        <f t="shared" si="9"/>
        <v>629699.02077350835</v>
      </c>
      <c r="H39" s="3">
        <f t="shared" si="9"/>
        <v>637934.66344725213</v>
      </c>
      <c r="I39" s="3">
        <f t="shared" si="9"/>
        <v>646257.46414202545</v>
      </c>
      <c r="J39" s="3">
        <f t="shared" si="9"/>
        <v>654667.61936764268</v>
      </c>
      <c r="K39" s="3">
        <f t="shared" si="9"/>
        <v>663165.29439542862</v>
      </c>
      <c r="L39" s="3">
        <f t="shared" si="9"/>
        <v>671750.62173360365</v>
      </c>
      <c r="M39" s="3">
        <f t="shared" si="9"/>
        <v>680423.69954711979</v>
      </c>
      <c r="N39" s="3">
        <f t="shared" si="9"/>
        <v>689184.59002009756</v>
      </c>
      <c r="O39" s="3">
        <f t="shared" si="9"/>
        <v>698033.31765896443</v>
      </c>
      <c r="P39" s="3">
        <f t="shared" si="9"/>
        <v>706969.86753432476</v>
      </c>
      <c r="Q39" s="3">
        <f t="shared" si="9"/>
        <v>715994.18345953769</v>
      </c>
      <c r="R39" s="3">
        <f t="shared" si="9"/>
        <v>725106.16610390367</v>
      </c>
      <c r="S39" s="3">
        <f t="shared" si="9"/>
        <v>734305.67103830597</v>
      </c>
      <c r="T39" s="3">
        <f t="shared" si="9"/>
        <v>743592.50671107415</v>
      </c>
      <c r="U39" s="3">
        <f t="shared" si="9"/>
        <v>752966.43235176965</v>
      </c>
      <c r="V39" s="3">
        <f t="shared" si="9"/>
        <v>762427.15580052335</v>
      </c>
      <c r="W39" s="3">
        <f t="shared" si="9"/>
        <v>771974.33126047137</v>
      </c>
      <c r="X39" s="3">
        <f t="shared" si="9"/>
        <v>781607.55697076686</v>
      </c>
      <c r="Y39" s="3">
        <f t="shared" si="9"/>
        <v>791326.37279755576</v>
      </c>
      <c r="Z39" s="3">
        <f t="shared" si="9"/>
        <v>801130.25774022937</v>
      </c>
      <c r="AA39" s="3">
        <f t="shared" si="9"/>
        <v>811018.62735017645</v>
      </c>
      <c r="AB39" s="3">
        <f t="shared" si="9"/>
        <v>820990.83105916996</v>
      </c>
      <c r="AC39" s="3">
        <f t="shared" si="9"/>
        <v>831046.14941443317</v>
      </c>
      <c r="AD39" s="3">
        <f t="shared" si="9"/>
        <v>841183.79121733701</v>
      </c>
      <c r="AE39" s="3">
        <f t="shared" si="9"/>
        <v>851402.8905625795</v>
      </c>
      <c r="AF39" s="3">
        <f t="shared" si="9"/>
        <v>861702.50377460523</v>
      </c>
      <c r="AG39" s="3">
        <f t="shared" si="9"/>
        <v>872081.60623791197</v>
      </c>
    </row>
    <row r="40" spans="1:33" x14ac:dyDescent="0.2">
      <c r="A40" s="1" t="s">
        <v>35</v>
      </c>
      <c r="B40" s="1"/>
      <c r="C40" s="12">
        <f>NPV(C10/100,C39:AG39)</f>
        <v>1.1287934242564941E-9</v>
      </c>
    </row>
    <row r="41" spans="1:33" x14ac:dyDescent="0.2">
      <c r="A41" s="1" t="s">
        <v>36</v>
      </c>
      <c r="B41" s="1"/>
      <c r="C41" s="15">
        <f>IRR(C39:AG39)</f>
        <v>7.0000000000000062E-2</v>
      </c>
    </row>
    <row r="43" spans="1:33" x14ac:dyDescent="0.2">
      <c r="A43" t="s">
        <v>37</v>
      </c>
      <c r="D43" s="3">
        <f t="shared" ref="D43:AG43" si="10">D35/$C$11</f>
        <v>467338.76747805084</v>
      </c>
      <c r="E43" s="3">
        <f t="shared" si="10"/>
        <v>471914.05848499096</v>
      </c>
      <c r="F43" s="3">
        <f t="shared" si="10"/>
        <v>478115.62295641738</v>
      </c>
      <c r="G43" s="3">
        <f t="shared" si="10"/>
        <v>484383.86213346792</v>
      </c>
      <c r="H43" s="3">
        <f t="shared" si="10"/>
        <v>490718.97188250162</v>
      </c>
      <c r="I43" s="3">
        <f t="shared" si="10"/>
        <v>497121.12626309646</v>
      </c>
      <c r="J43" s="3">
        <f t="shared" si="10"/>
        <v>503590.47643664817</v>
      </c>
      <c r="K43" s="3">
        <f t="shared" si="10"/>
        <v>510127.14953494509</v>
      </c>
      <c r="L43" s="3">
        <f t="shared" si="10"/>
        <v>516731.24748738739</v>
      </c>
      <c r="M43" s="3">
        <f t="shared" si="10"/>
        <v>523402.84580547677</v>
      </c>
      <c r="N43" s="3">
        <f t="shared" si="10"/>
        <v>530141.99232315191</v>
      </c>
      <c r="O43" s="3">
        <f t="shared" si="10"/>
        <v>536948.70589151105</v>
      </c>
      <c r="P43" s="3">
        <f t="shared" si="10"/>
        <v>543822.97502640367</v>
      </c>
      <c r="Q43" s="3">
        <f t="shared" si="10"/>
        <v>550764.75650733663</v>
      </c>
      <c r="R43" s="3">
        <f t="shared" si="10"/>
        <v>557773.97392607969</v>
      </c>
      <c r="S43" s="3">
        <f t="shared" si="10"/>
        <v>564850.51618331228</v>
      </c>
      <c r="T43" s="3">
        <f t="shared" si="10"/>
        <v>571994.23593159544</v>
      </c>
      <c r="U43" s="3">
        <f t="shared" si="10"/>
        <v>579204.94796289969</v>
      </c>
      <c r="V43" s="3">
        <f t="shared" si="10"/>
        <v>586482.42753886408</v>
      </c>
      <c r="W43" s="3">
        <f t="shared" si="10"/>
        <v>593826.40866190102</v>
      </c>
      <c r="X43" s="3">
        <f t="shared" si="10"/>
        <v>601236.58228520525</v>
      </c>
      <c r="Y43" s="3">
        <f t="shared" si="10"/>
        <v>608712.59445965826</v>
      </c>
      <c r="Z43" s="3">
        <f t="shared" si="10"/>
        <v>616254.04441556102</v>
      </c>
      <c r="AA43" s="3">
        <f t="shared" si="10"/>
        <v>623860.48257705884</v>
      </c>
      <c r="AB43" s="3">
        <f t="shared" si="10"/>
        <v>631531.40850705374</v>
      </c>
      <c r="AC43" s="3">
        <f t="shared" si="10"/>
        <v>639266.26878033322</v>
      </c>
      <c r="AD43" s="3">
        <f t="shared" si="10"/>
        <v>647064.45478256687</v>
      </c>
      <c r="AE43" s="3">
        <f t="shared" si="10"/>
        <v>654925.3004327534</v>
      </c>
      <c r="AF43" s="3">
        <f t="shared" si="10"/>
        <v>662848.07982661936</v>
      </c>
      <c r="AG43" s="3">
        <f t="shared" si="10"/>
        <v>670832.00479839381</v>
      </c>
    </row>
    <row r="44" spans="1:33" x14ac:dyDescent="0.2">
      <c r="A44" t="s">
        <v>42</v>
      </c>
      <c r="C44" s="11">
        <f>NPV(C9/100,D43:AG43)</f>
        <v>8039640.7788413353</v>
      </c>
    </row>
    <row r="45" spans="1:33" x14ac:dyDescent="0.2">
      <c r="A45" t="s">
        <v>38</v>
      </c>
      <c r="C45" s="11"/>
      <c r="D45" s="11">
        <f>C44</f>
        <v>8039640.7788413353</v>
      </c>
      <c r="E45" s="11">
        <f>D48</f>
        <v>7994383.1522524543</v>
      </c>
      <c r="F45" s="11">
        <f t="shared" ref="F45:AG45" si="11">E48</f>
        <v>7942174.209260717</v>
      </c>
      <c r="G45" s="11">
        <f t="shared" si="11"/>
        <v>7881022.7322904877</v>
      </c>
      <c r="H45" s="11">
        <f t="shared" si="11"/>
        <v>7810392.5636022706</v>
      </c>
      <c r="I45" s="11">
        <f t="shared" si="11"/>
        <v>7729719.2013088884</v>
      </c>
      <c r="J45" s="11">
        <f t="shared" si="11"/>
        <v>7638408.3331145085</v>
      </c>
      <c r="K45" s="11">
        <f t="shared" si="11"/>
        <v>7535834.2941663722</v>
      </c>
      <c r="L45" s="11">
        <f t="shared" si="11"/>
        <v>7421338.4450751618</v>
      </c>
      <c r="M45" s="11">
        <f t="shared" si="11"/>
        <v>7294227.4659542199</v>
      </c>
      <c r="N45" s="11">
        <f t="shared" si="11"/>
        <v>7153771.5621113395</v>
      </c>
      <c r="O45" s="11">
        <f t="shared" si="11"/>
        <v>6999202.5767990332</v>
      </c>
      <c r="P45" s="11">
        <f t="shared" si="11"/>
        <v>6829712.0061894711</v>
      </c>
      <c r="Q45" s="11">
        <f t="shared" si="11"/>
        <v>6644448.9114880143</v>
      </c>
      <c r="R45" s="11">
        <f t="shared" si="11"/>
        <v>6442517.7228337983</v>
      </c>
      <c r="S45" s="11">
        <f t="shared" si="11"/>
        <v>6222975.9293564931</v>
      </c>
      <c r="T45" s="11">
        <f t="shared" si="11"/>
        <v>5984831.6494643968</v>
      </c>
      <c r="U45" s="11">
        <f t="shared" si="11"/>
        <v>5727041.0751296822</v>
      </c>
      <c r="V45" s="11">
        <f t="shared" si="11"/>
        <v>5448505.7836110909</v>
      </c>
      <c r="W45" s="11">
        <f t="shared" si="11"/>
        <v>5148069.9097118089</v>
      </c>
      <c r="X45" s="11">
        <f t="shared" si="11"/>
        <v>4824517.1713097775</v>
      </c>
      <c r="Y45" s="11">
        <f t="shared" si="11"/>
        <v>4476567.7405183353</v>
      </c>
      <c r="Z45" s="11">
        <f t="shared" si="11"/>
        <v>4102874.9524358897</v>
      </c>
      <c r="AA45" s="11">
        <f t="shared" si="11"/>
        <v>3702021.8430232131</v>
      </c>
      <c r="AB45" s="11">
        <f t="shared" si="11"/>
        <v>3272517.507204873</v>
      </c>
      <c r="AC45" s="11">
        <f t="shared" si="11"/>
        <v>2812793.2678260752</v>
      </c>
      <c r="AD45" s="11">
        <f t="shared" si="11"/>
        <v>2321198.6456066109</v>
      </c>
      <c r="AE45" s="11">
        <f t="shared" si="11"/>
        <v>1795997.119718391</v>
      </c>
      <c r="AF45" s="11">
        <f t="shared" si="11"/>
        <v>1235361.6680708532</v>
      </c>
      <c r="AG45" s="11">
        <f t="shared" si="11"/>
        <v>637370.07581795368</v>
      </c>
    </row>
    <row r="46" spans="1:33" x14ac:dyDescent="0.2">
      <c r="A46" t="s">
        <v>39</v>
      </c>
      <c r="D46" s="11">
        <f>D45*$C$9/100</f>
        <v>422081.14088917011</v>
      </c>
      <c r="E46" s="11">
        <f>E45*$C$9/100</f>
        <v>419705.11549325386</v>
      </c>
      <c r="F46" s="11">
        <f t="shared" ref="F46:AG46" si="12">F45*$C$9/100</f>
        <v>416964.14598618762</v>
      </c>
      <c r="G46" s="11">
        <f t="shared" si="12"/>
        <v>413753.69344525062</v>
      </c>
      <c r="H46" s="11">
        <f t="shared" si="12"/>
        <v>410045.60958911921</v>
      </c>
      <c r="I46" s="11">
        <f t="shared" si="12"/>
        <v>405810.25806871668</v>
      </c>
      <c r="J46" s="11">
        <f t="shared" si="12"/>
        <v>401016.43748851173</v>
      </c>
      <c r="K46" s="11">
        <f t="shared" si="12"/>
        <v>395631.30044373451</v>
      </c>
      <c r="L46" s="11">
        <f t="shared" si="12"/>
        <v>389620.26836644596</v>
      </c>
      <c r="M46" s="11">
        <f t="shared" si="12"/>
        <v>382946.94196259655</v>
      </c>
      <c r="N46" s="11">
        <f t="shared" si="12"/>
        <v>375573.00701084529</v>
      </c>
      <c r="O46" s="11">
        <f t="shared" si="12"/>
        <v>367458.13528194925</v>
      </c>
      <c r="P46" s="11">
        <f t="shared" si="12"/>
        <v>358559.88032494724</v>
      </c>
      <c r="Q46" s="11">
        <f t="shared" si="12"/>
        <v>348833.56785312074</v>
      </c>
      <c r="R46" s="11">
        <f t="shared" si="12"/>
        <v>338232.18044877442</v>
      </c>
      <c r="S46" s="11">
        <f t="shared" si="12"/>
        <v>326706.23629121587</v>
      </c>
      <c r="T46" s="11">
        <f t="shared" si="12"/>
        <v>314203.66159688082</v>
      </c>
      <c r="U46" s="11">
        <f t="shared" si="12"/>
        <v>300669.65644430829</v>
      </c>
      <c r="V46" s="11">
        <f t="shared" si="12"/>
        <v>286046.5536395823</v>
      </c>
      <c r="W46" s="11">
        <f t="shared" si="12"/>
        <v>270273.67025986995</v>
      </c>
      <c r="X46" s="11">
        <f t="shared" si="12"/>
        <v>253287.15149376332</v>
      </c>
      <c r="Y46" s="11">
        <f t="shared" si="12"/>
        <v>235019.8063772126</v>
      </c>
      <c r="Z46" s="11">
        <f t="shared" si="12"/>
        <v>215400.93500288419</v>
      </c>
      <c r="AA46" s="11">
        <f t="shared" si="12"/>
        <v>194356.14675871868</v>
      </c>
      <c r="AB46" s="11">
        <f t="shared" si="12"/>
        <v>171807.16912825583</v>
      </c>
      <c r="AC46" s="11">
        <f t="shared" si="12"/>
        <v>147671.64656086895</v>
      </c>
      <c r="AD46" s="11">
        <f t="shared" si="12"/>
        <v>121862.92889434706</v>
      </c>
      <c r="AE46" s="11">
        <f t="shared" si="12"/>
        <v>94289.848785215523</v>
      </c>
      <c r="AF46" s="11">
        <f t="shared" si="12"/>
        <v>64856.487573719794</v>
      </c>
      <c r="AG46" s="11">
        <f t="shared" si="12"/>
        <v>33461.928980442572</v>
      </c>
    </row>
    <row r="47" spans="1:33" s="3" customFormat="1" x14ac:dyDescent="0.2">
      <c r="A47" s="3" t="s">
        <v>40</v>
      </c>
      <c r="D47" s="3">
        <f>IF(D45&lt;1,0,D43-D46)</f>
        <v>45257.626588880725</v>
      </c>
      <c r="E47" s="3">
        <f>IF(E45&lt;1,0,E43-E46)</f>
        <v>52208.942991737102</v>
      </c>
      <c r="F47" s="3">
        <f t="shared" ref="F47:AG47" si="13">IF(F45&lt;1,0,F43-F46)</f>
        <v>61151.476970229764</v>
      </c>
      <c r="G47" s="3">
        <f t="shared" si="13"/>
        <v>70630.168688217294</v>
      </c>
      <c r="H47" s="3">
        <f t="shared" si="13"/>
        <v>80673.362293382408</v>
      </c>
      <c r="I47" s="3">
        <f t="shared" si="13"/>
        <v>91310.868194379786</v>
      </c>
      <c r="J47" s="3">
        <f t="shared" si="13"/>
        <v>102574.03894813644</v>
      </c>
      <c r="K47" s="3">
        <f t="shared" si="13"/>
        <v>114495.84909121058</v>
      </c>
      <c r="L47" s="3">
        <f t="shared" si="13"/>
        <v>127110.97912094143</v>
      </c>
      <c r="M47" s="3">
        <f t="shared" si="13"/>
        <v>140455.90384288022</v>
      </c>
      <c r="N47" s="3">
        <f t="shared" si="13"/>
        <v>154568.98531230661</v>
      </c>
      <c r="O47" s="3">
        <f t="shared" si="13"/>
        <v>169490.57060956181</v>
      </c>
      <c r="P47" s="3">
        <f t="shared" si="13"/>
        <v>185263.09470145643</v>
      </c>
      <c r="Q47" s="3">
        <f t="shared" si="13"/>
        <v>201931.18865421589</v>
      </c>
      <c r="R47" s="3">
        <f t="shared" si="13"/>
        <v>219541.79347730527</v>
      </c>
      <c r="S47" s="3">
        <f t="shared" si="13"/>
        <v>238144.27989209641</v>
      </c>
      <c r="T47" s="3">
        <f t="shared" si="13"/>
        <v>257790.57433471462</v>
      </c>
      <c r="U47" s="3">
        <f t="shared" si="13"/>
        <v>278535.2915185914</v>
      </c>
      <c r="V47" s="3">
        <f t="shared" si="13"/>
        <v>300435.87389928178</v>
      </c>
      <c r="W47" s="3">
        <f t="shared" si="13"/>
        <v>323552.73840203107</v>
      </c>
      <c r="X47" s="3">
        <f t="shared" si="13"/>
        <v>347949.43079144193</v>
      </c>
      <c r="Y47" s="3">
        <f t="shared" si="13"/>
        <v>373692.78808244562</v>
      </c>
      <c r="Z47" s="3">
        <f t="shared" si="13"/>
        <v>400853.10941267683</v>
      </c>
      <c r="AA47" s="3">
        <f t="shared" si="13"/>
        <v>429504.33581834019</v>
      </c>
      <c r="AB47" s="3">
        <f t="shared" si="13"/>
        <v>459724.23937879794</v>
      </c>
      <c r="AC47" s="3">
        <f t="shared" si="13"/>
        <v>491594.62221946428</v>
      </c>
      <c r="AD47" s="3">
        <f t="shared" si="13"/>
        <v>525201.52588821982</v>
      </c>
      <c r="AE47" s="3">
        <f t="shared" si="13"/>
        <v>560635.45164753788</v>
      </c>
      <c r="AF47" s="3">
        <f t="shared" si="13"/>
        <v>597991.59225289954</v>
      </c>
      <c r="AG47" s="3">
        <f t="shared" si="13"/>
        <v>637370.07581795123</v>
      </c>
    </row>
    <row r="48" spans="1:33" x14ac:dyDescent="0.2">
      <c r="A48" t="s">
        <v>41</v>
      </c>
      <c r="D48" s="11">
        <f>D45-D47</f>
        <v>7994383.1522524543</v>
      </c>
      <c r="E48" s="11">
        <f>E45-E47</f>
        <v>7942174.209260717</v>
      </c>
      <c r="F48" s="11">
        <f t="shared" ref="F48:AG48" si="14">F45-F47</f>
        <v>7881022.7322904877</v>
      </c>
      <c r="G48" s="11">
        <f t="shared" si="14"/>
        <v>7810392.5636022706</v>
      </c>
      <c r="H48" s="11">
        <f t="shared" si="14"/>
        <v>7729719.2013088884</v>
      </c>
      <c r="I48" s="11">
        <f t="shared" si="14"/>
        <v>7638408.3331145085</v>
      </c>
      <c r="J48" s="11">
        <f t="shared" si="14"/>
        <v>7535834.2941663722</v>
      </c>
      <c r="K48" s="11">
        <f t="shared" si="14"/>
        <v>7421338.4450751618</v>
      </c>
      <c r="L48" s="11">
        <f t="shared" si="14"/>
        <v>7294227.4659542199</v>
      </c>
      <c r="M48" s="11">
        <f t="shared" si="14"/>
        <v>7153771.5621113395</v>
      </c>
      <c r="N48" s="11">
        <f t="shared" si="14"/>
        <v>6999202.5767990332</v>
      </c>
      <c r="O48" s="11">
        <f t="shared" si="14"/>
        <v>6829712.0061894711</v>
      </c>
      <c r="P48" s="11">
        <f t="shared" si="14"/>
        <v>6644448.9114880143</v>
      </c>
      <c r="Q48" s="11">
        <f t="shared" si="14"/>
        <v>6442517.7228337983</v>
      </c>
      <c r="R48" s="11">
        <f t="shared" si="14"/>
        <v>6222975.9293564931</v>
      </c>
      <c r="S48" s="11">
        <f t="shared" si="14"/>
        <v>5984831.6494643968</v>
      </c>
      <c r="T48" s="11">
        <f t="shared" si="14"/>
        <v>5727041.0751296822</v>
      </c>
      <c r="U48" s="11">
        <f t="shared" si="14"/>
        <v>5448505.7836110909</v>
      </c>
      <c r="V48" s="11">
        <f t="shared" si="14"/>
        <v>5148069.9097118089</v>
      </c>
      <c r="W48" s="11">
        <f t="shared" si="14"/>
        <v>4824517.1713097775</v>
      </c>
      <c r="X48" s="11">
        <f t="shared" si="14"/>
        <v>4476567.7405183353</v>
      </c>
      <c r="Y48" s="11">
        <f t="shared" si="14"/>
        <v>4102874.9524358897</v>
      </c>
      <c r="Z48" s="11">
        <f t="shared" si="14"/>
        <v>3702021.8430232131</v>
      </c>
      <c r="AA48" s="11">
        <f t="shared" si="14"/>
        <v>3272517.507204873</v>
      </c>
      <c r="AB48" s="11">
        <f t="shared" si="14"/>
        <v>2812793.2678260752</v>
      </c>
      <c r="AC48" s="11">
        <f t="shared" si="14"/>
        <v>2321198.6456066109</v>
      </c>
      <c r="AD48" s="11">
        <f t="shared" si="14"/>
        <v>1795997.119718391</v>
      </c>
      <c r="AE48" s="11">
        <f t="shared" si="14"/>
        <v>1235361.6680708532</v>
      </c>
      <c r="AF48" s="11">
        <f t="shared" si="14"/>
        <v>637370.07581795368</v>
      </c>
      <c r="AG48" s="11">
        <f t="shared" si="14"/>
        <v>2.4447217583656311E-9</v>
      </c>
    </row>
    <row r="50" spans="1:33" x14ac:dyDescent="0.2">
      <c r="A50" t="s">
        <v>43</v>
      </c>
      <c r="C50" s="3">
        <f>-(C37+C44)</f>
        <v>520359.22115866467</v>
      </c>
    </row>
    <row r="51" spans="1:33" x14ac:dyDescent="0.2">
      <c r="A51" t="s">
        <v>44</v>
      </c>
      <c r="C51" s="3">
        <f>-C50</f>
        <v>-520359.22115866467</v>
      </c>
      <c r="D51" s="3">
        <f>D39-D46-D47</f>
        <v>140201.6302434153</v>
      </c>
      <c r="E51" s="3">
        <f t="shared" ref="E51:AG51" si="15">E39-E46-E47</f>
        <v>141574.21754549735</v>
      </c>
      <c r="F51" s="3">
        <f t="shared" si="15"/>
        <v>143434.68688692525</v>
      </c>
      <c r="G51" s="3">
        <f t="shared" si="15"/>
        <v>145315.15864004043</v>
      </c>
      <c r="H51" s="3">
        <f t="shared" si="15"/>
        <v>147215.69156475051</v>
      </c>
      <c r="I51" s="3">
        <f t="shared" si="15"/>
        <v>149136.33787892899</v>
      </c>
      <c r="J51" s="3">
        <f t="shared" si="15"/>
        <v>151077.14293099451</v>
      </c>
      <c r="K51" s="3">
        <f t="shared" si="15"/>
        <v>153038.14486048353</v>
      </c>
      <c r="L51" s="3">
        <f t="shared" si="15"/>
        <v>155019.37424621626</v>
      </c>
      <c r="M51" s="3">
        <f t="shared" si="15"/>
        <v>157020.85374164302</v>
      </c>
      <c r="N51" s="3">
        <f t="shared" si="15"/>
        <v>159042.59769694565</v>
      </c>
      <c r="O51" s="3">
        <f t="shared" si="15"/>
        <v>161084.61176745337</v>
      </c>
      <c r="P51" s="3">
        <f t="shared" si="15"/>
        <v>163146.89250792109</v>
      </c>
      <c r="Q51" s="3">
        <f t="shared" si="15"/>
        <v>165229.42695220106</v>
      </c>
      <c r="R51" s="3">
        <f t="shared" si="15"/>
        <v>167332.19217782398</v>
      </c>
      <c r="S51" s="3">
        <f t="shared" si="15"/>
        <v>169455.15485499369</v>
      </c>
      <c r="T51" s="3">
        <f t="shared" si="15"/>
        <v>171598.27077947871</v>
      </c>
      <c r="U51" s="3">
        <f t="shared" si="15"/>
        <v>173761.48438886995</v>
      </c>
      <c r="V51" s="3">
        <f t="shared" si="15"/>
        <v>175944.72826165927</v>
      </c>
      <c r="W51" s="3">
        <f t="shared" si="15"/>
        <v>178147.92259857035</v>
      </c>
      <c r="X51" s="3">
        <f t="shared" si="15"/>
        <v>180370.97468556161</v>
      </c>
      <c r="Y51" s="3">
        <f t="shared" si="15"/>
        <v>182613.7783378975</v>
      </c>
      <c r="Z51" s="3">
        <f t="shared" si="15"/>
        <v>184876.21332466841</v>
      </c>
      <c r="AA51" s="3">
        <f t="shared" si="15"/>
        <v>187158.14477311762</v>
      </c>
      <c r="AB51" s="3">
        <f t="shared" si="15"/>
        <v>189459.42255211622</v>
      </c>
      <c r="AC51" s="3">
        <f t="shared" si="15"/>
        <v>191779.88063409994</v>
      </c>
      <c r="AD51" s="3">
        <f t="shared" si="15"/>
        <v>194119.33643477014</v>
      </c>
      <c r="AE51" s="3">
        <f t="shared" si="15"/>
        <v>196477.5901298261</v>
      </c>
      <c r="AF51" s="3">
        <f t="shared" si="15"/>
        <v>198854.42394798587</v>
      </c>
      <c r="AG51" s="3">
        <f t="shared" si="15"/>
        <v>201249.60143951816</v>
      </c>
    </row>
    <row r="52" spans="1:33" x14ac:dyDescent="0.2">
      <c r="A52" s="1" t="s">
        <v>46</v>
      </c>
      <c r="B52" s="1"/>
      <c r="C52" s="12">
        <f>NPV(C9/100,C51:AG51)</f>
        <v>1797181.0094952364</v>
      </c>
    </row>
    <row r="53" spans="1:33" x14ac:dyDescent="0.2">
      <c r="A53" s="1" t="s">
        <v>47</v>
      </c>
      <c r="B53" s="1"/>
      <c r="C53" s="15">
        <f>IRR(C51:AG51)</f>
        <v>0.28154111854131258</v>
      </c>
    </row>
    <row r="55" spans="1:33" x14ac:dyDescent="0.2">
      <c r="A55" t="s">
        <v>48</v>
      </c>
      <c r="C55" s="11">
        <f>C44</f>
        <v>8039640.7788413353</v>
      </c>
    </row>
    <row r="56" spans="1:33" x14ac:dyDescent="0.2">
      <c r="A56" t="s">
        <v>49</v>
      </c>
      <c r="C56" s="3">
        <f>C50</f>
        <v>520359.22115866467</v>
      </c>
    </row>
    <row r="57" spans="1:33" x14ac:dyDescent="0.2">
      <c r="A57" s="1" t="s">
        <v>50</v>
      </c>
      <c r="B57" s="1"/>
      <c r="C57" s="13">
        <f>C55/C56</f>
        <v>15.45017451778747</v>
      </c>
    </row>
    <row r="59" spans="1:33" x14ac:dyDescent="0.2">
      <c r="A59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2607-59B3-4B2E-B3B6-51D37A825A7E}">
  <dimension ref="A1:AG59"/>
  <sheetViews>
    <sheetView topLeftCell="A17" zoomScale="103" zoomScaleNormal="110" workbookViewId="0">
      <selection activeCell="F21" sqref="F21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(5*1000000*I4)</f>
        <v>9200000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9200000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5*1000000*K4</f>
        <v>100000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27">
        <f>+[3]Parameters!E13</f>
        <v>7286.2839999999997</v>
      </c>
      <c r="D13" t="s">
        <v>54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6557.6556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28">
        <v>115.72621604420399</v>
      </c>
      <c r="D19" t="s">
        <v>19</v>
      </c>
      <c r="E19" s="28"/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6557.6556</v>
      </c>
      <c r="E26" s="8">
        <f>D26*(1-C15/100)</f>
        <v>6505.1943552000002</v>
      </c>
      <c r="F26" s="8">
        <f>E26*(1-$C$16/100)</f>
        <v>6472.6683834240002</v>
      </c>
      <c r="G26" s="8">
        <f t="shared" ref="G26:AG26" si="2">F26*(1-$C$16/100)</f>
        <v>6440.3050415068801</v>
      </c>
      <c r="H26" s="8">
        <f t="shared" si="2"/>
        <v>6408.1035162993458</v>
      </c>
      <c r="I26" s="8">
        <f t="shared" si="2"/>
        <v>6376.062998717849</v>
      </c>
      <c r="J26" s="8">
        <f t="shared" si="2"/>
        <v>6344.1826837242597</v>
      </c>
      <c r="K26" s="8">
        <f t="shared" si="2"/>
        <v>6312.4617703056383</v>
      </c>
      <c r="L26" s="8">
        <f t="shared" si="2"/>
        <v>6280.8994614541098</v>
      </c>
      <c r="M26" s="8">
        <f t="shared" si="2"/>
        <v>6249.4949641468393</v>
      </c>
      <c r="N26" s="8">
        <f t="shared" si="2"/>
        <v>6218.2474893261051</v>
      </c>
      <c r="O26" s="8">
        <f t="shared" si="2"/>
        <v>6187.1562518794744</v>
      </c>
      <c r="P26" s="8">
        <f t="shared" si="2"/>
        <v>6156.2204706200773</v>
      </c>
      <c r="Q26" s="8">
        <f t="shared" si="2"/>
        <v>6125.439368266977</v>
      </c>
      <c r="R26" s="8">
        <f t="shared" si="2"/>
        <v>6094.8121714256422</v>
      </c>
      <c r="S26" s="8">
        <f t="shared" si="2"/>
        <v>6064.3381105685139</v>
      </c>
      <c r="T26" s="8">
        <f t="shared" si="2"/>
        <v>6034.0164200156714</v>
      </c>
      <c r="U26" s="8">
        <f t="shared" si="2"/>
        <v>6003.8463379155928</v>
      </c>
      <c r="V26" s="8">
        <f t="shared" si="2"/>
        <v>5973.8271062260146</v>
      </c>
      <c r="W26" s="8">
        <f t="shared" si="2"/>
        <v>5943.9579706948844</v>
      </c>
      <c r="X26" s="8">
        <f t="shared" si="2"/>
        <v>5914.2381808414102</v>
      </c>
      <c r="Y26" s="8">
        <f t="shared" si="2"/>
        <v>5884.6669899372027</v>
      </c>
      <c r="Z26" s="8">
        <f t="shared" si="2"/>
        <v>5855.2436549875165</v>
      </c>
      <c r="AA26" s="8">
        <f t="shared" si="2"/>
        <v>5825.967436712579</v>
      </c>
      <c r="AB26" s="8">
        <f t="shared" si="2"/>
        <v>5796.8375995290162</v>
      </c>
      <c r="AC26" s="8">
        <f t="shared" si="2"/>
        <v>5767.8534115313714</v>
      </c>
      <c r="AD26" s="8">
        <f t="shared" si="2"/>
        <v>5739.0141444737146</v>
      </c>
      <c r="AE26" s="8">
        <f t="shared" si="2"/>
        <v>5710.319073751346</v>
      </c>
      <c r="AF26" s="8">
        <f t="shared" si="2"/>
        <v>5681.7674783825896</v>
      </c>
      <c r="AG26" s="8">
        <f t="shared" si="2"/>
        <v>5653.3586409906766</v>
      </c>
    </row>
    <row r="27" spans="1:33" s="8" customFormat="1" x14ac:dyDescent="0.2">
      <c r="A27" s="8" t="s">
        <v>27</v>
      </c>
      <c r="D27" s="8">
        <f>(1-$C$17/100)*D26</f>
        <v>6557.6556</v>
      </c>
      <c r="E27" s="8">
        <f t="shared" ref="E27:AG27" si="3">(1-$C$17/100)*E26</f>
        <v>6505.1943552000002</v>
      </c>
      <c r="F27" s="8">
        <f t="shared" si="3"/>
        <v>6472.6683834240002</v>
      </c>
      <c r="G27" s="8">
        <f t="shared" si="3"/>
        <v>6440.3050415068801</v>
      </c>
      <c r="H27" s="8">
        <f t="shared" si="3"/>
        <v>6408.1035162993458</v>
      </c>
      <c r="I27" s="8">
        <f t="shared" si="3"/>
        <v>6376.062998717849</v>
      </c>
      <c r="J27" s="8">
        <f t="shared" si="3"/>
        <v>6344.1826837242597</v>
      </c>
      <c r="K27" s="8">
        <f t="shared" si="3"/>
        <v>6312.4617703056383</v>
      </c>
      <c r="L27" s="8">
        <f t="shared" si="3"/>
        <v>6280.8994614541098</v>
      </c>
      <c r="M27" s="8">
        <f t="shared" si="3"/>
        <v>6249.4949641468393</v>
      </c>
      <c r="N27" s="8">
        <f t="shared" si="3"/>
        <v>6218.2474893261051</v>
      </c>
      <c r="O27" s="8">
        <f t="shared" si="3"/>
        <v>6187.1562518794744</v>
      </c>
      <c r="P27" s="8">
        <f t="shared" si="3"/>
        <v>6156.2204706200773</v>
      </c>
      <c r="Q27" s="8">
        <f t="shared" si="3"/>
        <v>6125.439368266977</v>
      </c>
      <c r="R27" s="8">
        <f t="shared" si="3"/>
        <v>6094.8121714256422</v>
      </c>
      <c r="S27" s="8">
        <f t="shared" si="3"/>
        <v>6064.3381105685139</v>
      </c>
      <c r="T27" s="8">
        <f t="shared" si="3"/>
        <v>6034.0164200156714</v>
      </c>
      <c r="U27" s="8">
        <f t="shared" si="3"/>
        <v>6003.8463379155928</v>
      </c>
      <c r="V27" s="8">
        <f t="shared" si="3"/>
        <v>5973.8271062260146</v>
      </c>
      <c r="W27" s="8">
        <f t="shared" si="3"/>
        <v>5943.9579706948844</v>
      </c>
      <c r="X27" s="8">
        <f t="shared" si="3"/>
        <v>5914.2381808414102</v>
      </c>
      <c r="Y27" s="8">
        <f t="shared" si="3"/>
        <v>5884.6669899372027</v>
      </c>
      <c r="Z27" s="8">
        <f t="shared" si="3"/>
        <v>5855.2436549875165</v>
      </c>
      <c r="AA27" s="8">
        <f t="shared" si="3"/>
        <v>5825.967436712579</v>
      </c>
      <c r="AB27" s="8">
        <f t="shared" si="3"/>
        <v>5796.8375995290162</v>
      </c>
      <c r="AC27" s="8">
        <f t="shared" si="3"/>
        <v>5767.8534115313714</v>
      </c>
      <c r="AD27" s="8">
        <f t="shared" si="3"/>
        <v>5739.0141444737146</v>
      </c>
      <c r="AE27" s="8">
        <f t="shared" si="3"/>
        <v>5710.319073751346</v>
      </c>
      <c r="AF27" s="8">
        <f t="shared" si="3"/>
        <v>5681.7674783825896</v>
      </c>
      <c r="AG27" s="8">
        <f t="shared" si="3"/>
        <v>5653.3586409906766</v>
      </c>
    </row>
    <row r="29" spans="1:33" x14ac:dyDescent="0.2">
      <c r="A29" t="s">
        <v>28</v>
      </c>
      <c r="D29" s="3">
        <f>C19</f>
        <v>115.72621604420399</v>
      </c>
      <c r="E29" s="3">
        <f>D29*(1+$C$20/100)</f>
        <v>118.04074036508807</v>
      </c>
      <c r="F29" s="3">
        <f t="shared" ref="F29:AG29" si="4">E29*(1+$C$20/100)</f>
        <v>120.40155517238983</v>
      </c>
      <c r="G29" s="3">
        <f t="shared" si="4"/>
        <v>122.80958627583763</v>
      </c>
      <c r="H29" s="3">
        <f t="shared" si="4"/>
        <v>125.26577800135439</v>
      </c>
      <c r="I29" s="3">
        <f t="shared" si="4"/>
        <v>127.77109356138148</v>
      </c>
      <c r="J29" s="3">
        <f t="shared" si="4"/>
        <v>130.32651543260911</v>
      </c>
      <c r="K29" s="3">
        <f t="shared" si="4"/>
        <v>132.93304574126131</v>
      </c>
      <c r="L29" s="3">
        <f t="shared" si="4"/>
        <v>135.59170665608653</v>
      </c>
      <c r="M29" s="3">
        <f t="shared" si="4"/>
        <v>138.30354078920826</v>
      </c>
      <c r="N29" s="3">
        <f t="shared" si="4"/>
        <v>141.06961160499242</v>
      </c>
      <c r="O29" s="3">
        <f t="shared" si="4"/>
        <v>143.89100383709226</v>
      </c>
      <c r="P29" s="3">
        <f t="shared" si="4"/>
        <v>146.7688239138341</v>
      </c>
      <c r="Q29" s="3">
        <f t="shared" si="4"/>
        <v>149.70420039211078</v>
      </c>
      <c r="R29" s="3">
        <f t="shared" si="4"/>
        <v>152.698284399953</v>
      </c>
      <c r="S29" s="3">
        <f t="shared" si="4"/>
        <v>155.75225008795206</v>
      </c>
      <c r="T29" s="3">
        <f t="shared" si="4"/>
        <v>158.86729508971112</v>
      </c>
      <c r="U29" s="3">
        <f t="shared" si="4"/>
        <v>162.04464099150533</v>
      </c>
      <c r="V29" s="3">
        <f t="shared" si="4"/>
        <v>165.28553381133545</v>
      </c>
      <c r="W29" s="3">
        <f t="shared" si="4"/>
        <v>168.59124448756216</v>
      </c>
      <c r="X29" s="3">
        <f t="shared" si="4"/>
        <v>171.96306937731342</v>
      </c>
      <c r="Y29" s="3">
        <f t="shared" si="4"/>
        <v>175.4023307648597</v>
      </c>
      <c r="Z29" s="3">
        <f t="shared" si="4"/>
        <v>178.91037738015689</v>
      </c>
      <c r="AA29" s="3">
        <f t="shared" si="4"/>
        <v>182.48858492776003</v>
      </c>
      <c r="AB29" s="3">
        <f t="shared" si="4"/>
        <v>186.13835662631524</v>
      </c>
      <c r="AC29" s="3">
        <f t="shared" si="4"/>
        <v>189.86112375884156</v>
      </c>
      <c r="AD29" s="3">
        <f t="shared" si="4"/>
        <v>193.65834623401838</v>
      </c>
      <c r="AE29" s="3">
        <f t="shared" si="4"/>
        <v>197.53151315869874</v>
      </c>
      <c r="AF29" s="3">
        <f t="shared" si="4"/>
        <v>201.48214342187273</v>
      </c>
      <c r="AG29" s="3">
        <f t="shared" si="4"/>
        <v>205.5117862903102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758892.66870908416</v>
      </c>
      <c r="E33" s="3">
        <f t="shared" ref="E33:AG33" si="6">E29*E27</f>
        <v>767877.95790659974</v>
      </c>
      <c r="F33" s="3">
        <f t="shared" si="6"/>
        <v>779319.33947940811</v>
      </c>
      <c r="G33" s="3">
        <f t="shared" si="6"/>
        <v>790931.19763765123</v>
      </c>
      <c r="H33" s="3">
        <f t="shared" si="6"/>
        <v>802716.07248245226</v>
      </c>
      <c r="I33" s="3">
        <f t="shared" si="6"/>
        <v>814676.54196244082</v>
      </c>
      <c r="J33" s="3">
        <f t="shared" si="6"/>
        <v>826815.22243768128</v>
      </c>
      <c r="K33" s="3">
        <f t="shared" si="6"/>
        <v>839134.7692520027</v>
      </c>
      <c r="L33" s="3">
        <f t="shared" si="6"/>
        <v>851637.87731385755</v>
      </c>
      <c r="M33" s="3">
        <f t="shared" si="6"/>
        <v>864327.28168583394</v>
      </c>
      <c r="N33" s="3">
        <f t="shared" si="6"/>
        <v>877205.75818295288</v>
      </c>
      <c r="O33" s="3">
        <f t="shared" si="6"/>
        <v>890276.12397987884</v>
      </c>
      <c r="P33" s="3">
        <f t="shared" si="6"/>
        <v>903541.23822717904</v>
      </c>
      <c r="Q33" s="3">
        <f t="shared" si="6"/>
        <v>917004.00267676392</v>
      </c>
      <c r="R33" s="3">
        <f t="shared" si="6"/>
        <v>930667.36231664778</v>
      </c>
      <c r="S33" s="3">
        <f t="shared" si="6"/>
        <v>944534.30601516587</v>
      </c>
      <c r="T33" s="3">
        <f t="shared" si="6"/>
        <v>958607.86717479199</v>
      </c>
      <c r="U33" s="3">
        <f t="shared" si="6"/>
        <v>972891.12439569621</v>
      </c>
      <c r="V33" s="3">
        <f t="shared" si="6"/>
        <v>987387.20214919222</v>
      </c>
      <c r="W33" s="3">
        <f t="shared" si="6"/>
        <v>1002099.2714612151</v>
      </c>
      <c r="X33" s="3">
        <f t="shared" si="6"/>
        <v>1017030.5506059873</v>
      </c>
      <c r="Y33" s="3">
        <f t="shared" si="6"/>
        <v>1032184.3058100166</v>
      </c>
      <c r="Z33" s="3">
        <f t="shared" si="6"/>
        <v>1047563.8519665857</v>
      </c>
      <c r="AA33" s="3">
        <f t="shared" si="6"/>
        <v>1063172.5533608878</v>
      </c>
      <c r="AB33" s="3">
        <f t="shared" si="6"/>
        <v>1079013.8244059652</v>
      </c>
      <c r="AC33" s="3">
        <f t="shared" si="6"/>
        <v>1095091.1303896143</v>
      </c>
      <c r="AD33" s="3">
        <f t="shared" si="6"/>
        <v>1111407.9882324194</v>
      </c>
      <c r="AE33" s="3">
        <f t="shared" si="6"/>
        <v>1127967.9672570825</v>
      </c>
      <c r="AF33" s="3">
        <f t="shared" si="6"/>
        <v>1144774.6899692132</v>
      </c>
      <c r="AG33" s="3">
        <f t="shared" si="6"/>
        <v>1161831.8328497545</v>
      </c>
    </row>
    <row r="34" spans="1:33" x14ac:dyDescent="0.2">
      <c r="A34" t="s">
        <v>32</v>
      </c>
      <c r="D34" s="3">
        <f>-C6</f>
        <v>-100000</v>
      </c>
      <c r="E34" s="3">
        <f>$D$34*E24</f>
        <v>-103099.99999999999</v>
      </c>
      <c r="F34" s="3">
        <f t="shared" ref="F34:AG34" si="7">$D$34*F24</f>
        <v>-106296.09999999998</v>
      </c>
      <c r="G34" s="3">
        <f t="shared" si="7"/>
        <v>-109591.27909999997</v>
      </c>
      <c r="H34" s="3">
        <f t="shared" si="7"/>
        <v>-112988.60875209997</v>
      </c>
      <c r="I34" s="3">
        <f t="shared" si="7"/>
        <v>-116491.25562341507</v>
      </c>
      <c r="J34" s="3">
        <f t="shared" si="7"/>
        <v>-120102.48454774093</v>
      </c>
      <c r="K34" s="3">
        <f t="shared" si="7"/>
        <v>-123825.66156872088</v>
      </c>
      <c r="L34" s="3">
        <f t="shared" si="7"/>
        <v>-127664.25707735123</v>
      </c>
      <c r="M34" s="3">
        <f t="shared" si="7"/>
        <v>-131621.84904674909</v>
      </c>
      <c r="N34" s="3">
        <f t="shared" si="7"/>
        <v>-135702.1263671983</v>
      </c>
      <c r="O34" s="3">
        <f t="shared" si="7"/>
        <v>-139908.89228458147</v>
      </c>
      <c r="P34" s="3">
        <f t="shared" si="7"/>
        <v>-144246.06794540348</v>
      </c>
      <c r="Q34" s="3">
        <f t="shared" si="7"/>
        <v>-148717.69605171098</v>
      </c>
      <c r="R34" s="3">
        <f t="shared" si="7"/>
        <v>-153327.94462931401</v>
      </c>
      <c r="S34" s="3">
        <f t="shared" si="7"/>
        <v>-158081.11091282274</v>
      </c>
      <c r="T34" s="3">
        <f t="shared" si="7"/>
        <v>-162981.62535112025</v>
      </c>
      <c r="U34" s="3">
        <f t="shared" si="7"/>
        <v>-168034.05573700496</v>
      </c>
      <c r="V34" s="3">
        <f t="shared" si="7"/>
        <v>-173243.11146485209</v>
      </c>
      <c r="W34" s="3">
        <f t="shared" si="7"/>
        <v>-178613.64792026248</v>
      </c>
      <c r="X34" s="3">
        <f t="shared" si="7"/>
        <v>-184150.67100579065</v>
      </c>
      <c r="Y34" s="3">
        <f t="shared" si="7"/>
        <v>-189859.34180697013</v>
      </c>
      <c r="Z34" s="3">
        <f t="shared" si="7"/>
        <v>-195744.98140298619</v>
      </c>
      <c r="AA34" s="3">
        <f t="shared" si="7"/>
        <v>-201813.07582647877</v>
      </c>
      <c r="AB34" s="3">
        <f t="shared" si="7"/>
        <v>-208069.28117709956</v>
      </c>
      <c r="AC34" s="3">
        <f t="shared" si="7"/>
        <v>-214519.42889358965</v>
      </c>
      <c r="AD34" s="3">
        <f t="shared" si="7"/>
        <v>-221169.53118929089</v>
      </c>
      <c r="AE34" s="3">
        <f t="shared" si="7"/>
        <v>-228025.78665615895</v>
      </c>
      <c r="AF34" s="3">
        <f t="shared" si="7"/>
        <v>-235094.58604249987</v>
      </c>
      <c r="AG34" s="3">
        <f t="shared" si="7"/>
        <v>-242382.51820981732</v>
      </c>
    </row>
    <row r="35" spans="1:33" x14ac:dyDescent="0.2">
      <c r="A35" t="s">
        <v>33</v>
      </c>
      <c r="D35" s="3">
        <f>D33+D34</f>
        <v>658892.66870908416</v>
      </c>
      <c r="E35" s="3">
        <f t="shared" ref="E35:AG35" si="8">E33+E34</f>
        <v>664777.95790659974</v>
      </c>
      <c r="F35" s="3">
        <f t="shared" si="8"/>
        <v>673023.23947940813</v>
      </c>
      <c r="G35" s="3">
        <f t="shared" si="8"/>
        <v>681339.91853765131</v>
      </c>
      <c r="H35" s="3">
        <f t="shared" si="8"/>
        <v>689727.46373035223</v>
      </c>
      <c r="I35" s="3">
        <f t="shared" si="8"/>
        <v>698185.28633902571</v>
      </c>
      <c r="J35" s="3">
        <f t="shared" si="8"/>
        <v>706712.73788994038</v>
      </c>
      <c r="K35" s="3">
        <f t="shared" si="8"/>
        <v>715309.10768328188</v>
      </c>
      <c r="L35" s="3">
        <f t="shared" si="8"/>
        <v>723973.62023650634</v>
      </c>
      <c r="M35" s="3">
        <f t="shared" si="8"/>
        <v>732705.43263908487</v>
      </c>
      <c r="N35" s="3">
        <f t="shared" si="8"/>
        <v>741503.63181575458</v>
      </c>
      <c r="O35" s="3">
        <f t="shared" si="8"/>
        <v>750367.23169529741</v>
      </c>
      <c r="P35" s="3">
        <f t="shared" si="8"/>
        <v>759295.17028177553</v>
      </c>
      <c r="Q35" s="3">
        <f t="shared" si="8"/>
        <v>768286.30662505294</v>
      </c>
      <c r="R35" s="3">
        <f t="shared" si="8"/>
        <v>777339.41768733377</v>
      </c>
      <c r="S35" s="3">
        <f t="shared" si="8"/>
        <v>786453.1951023431</v>
      </c>
      <c r="T35" s="3">
        <f t="shared" si="8"/>
        <v>795626.24182367173</v>
      </c>
      <c r="U35" s="3">
        <f t="shared" si="8"/>
        <v>804857.06865869125</v>
      </c>
      <c r="V35" s="3">
        <f t="shared" si="8"/>
        <v>814144.0906843401</v>
      </c>
      <c r="W35" s="3">
        <f t="shared" si="8"/>
        <v>823485.62354095257</v>
      </c>
      <c r="X35" s="3">
        <f t="shared" si="8"/>
        <v>832879.87960019661</v>
      </c>
      <c r="Y35" s="3">
        <f t="shared" si="8"/>
        <v>842324.96400304651</v>
      </c>
      <c r="Z35" s="3">
        <f t="shared" si="8"/>
        <v>851818.87056359951</v>
      </c>
      <c r="AA35" s="3">
        <f t="shared" si="8"/>
        <v>861359.47753440903</v>
      </c>
      <c r="AB35" s="3">
        <f t="shared" si="8"/>
        <v>870944.5432288656</v>
      </c>
      <c r="AC35" s="3">
        <f t="shared" si="8"/>
        <v>880571.70149602462</v>
      </c>
      <c r="AD35" s="3">
        <f t="shared" si="8"/>
        <v>890238.45704312844</v>
      </c>
      <c r="AE35" s="3">
        <f t="shared" si="8"/>
        <v>899942.18060092349</v>
      </c>
      <c r="AF35" s="3">
        <f t="shared" si="8"/>
        <v>909680.10392671335</v>
      </c>
      <c r="AG35" s="3">
        <f t="shared" si="8"/>
        <v>919449.31463993713</v>
      </c>
    </row>
    <row r="37" spans="1:33" x14ac:dyDescent="0.2">
      <c r="A37" t="s">
        <v>34</v>
      </c>
      <c r="C37" s="3">
        <f>-C5</f>
        <v>-9200000</v>
      </c>
    </row>
    <row r="39" spans="1:33" x14ac:dyDescent="0.2">
      <c r="A39" t="s">
        <v>45</v>
      </c>
      <c r="C39" s="3">
        <f>C37+C35</f>
        <v>-9200000</v>
      </c>
      <c r="D39" s="3">
        <f t="shared" ref="D39:AG39" si="9">D37+D35</f>
        <v>658892.66870908416</v>
      </c>
      <c r="E39" s="3">
        <f t="shared" si="9"/>
        <v>664777.95790659974</v>
      </c>
      <c r="F39" s="3">
        <f t="shared" si="9"/>
        <v>673023.23947940813</v>
      </c>
      <c r="G39" s="3">
        <f t="shared" si="9"/>
        <v>681339.91853765131</v>
      </c>
      <c r="H39" s="3">
        <f t="shared" si="9"/>
        <v>689727.46373035223</v>
      </c>
      <c r="I39" s="3">
        <f t="shared" si="9"/>
        <v>698185.28633902571</v>
      </c>
      <c r="J39" s="3">
        <f t="shared" si="9"/>
        <v>706712.73788994038</v>
      </c>
      <c r="K39" s="3">
        <f t="shared" si="9"/>
        <v>715309.10768328188</v>
      </c>
      <c r="L39" s="3">
        <f t="shared" si="9"/>
        <v>723973.62023650634</v>
      </c>
      <c r="M39" s="3">
        <f t="shared" si="9"/>
        <v>732705.43263908487</v>
      </c>
      <c r="N39" s="3">
        <f t="shared" si="9"/>
        <v>741503.63181575458</v>
      </c>
      <c r="O39" s="3">
        <f t="shared" si="9"/>
        <v>750367.23169529741</v>
      </c>
      <c r="P39" s="3">
        <f t="shared" si="9"/>
        <v>759295.17028177553</v>
      </c>
      <c r="Q39" s="3">
        <f t="shared" si="9"/>
        <v>768286.30662505294</v>
      </c>
      <c r="R39" s="3">
        <f t="shared" si="9"/>
        <v>777339.41768733377</v>
      </c>
      <c r="S39" s="3">
        <f t="shared" si="9"/>
        <v>786453.1951023431</v>
      </c>
      <c r="T39" s="3">
        <f t="shared" si="9"/>
        <v>795626.24182367173</v>
      </c>
      <c r="U39" s="3">
        <f t="shared" si="9"/>
        <v>804857.06865869125</v>
      </c>
      <c r="V39" s="3">
        <f t="shared" si="9"/>
        <v>814144.0906843401</v>
      </c>
      <c r="W39" s="3">
        <f t="shared" si="9"/>
        <v>823485.62354095257</v>
      </c>
      <c r="X39" s="3">
        <f t="shared" si="9"/>
        <v>832879.87960019661</v>
      </c>
      <c r="Y39" s="3">
        <f t="shared" si="9"/>
        <v>842324.96400304651</v>
      </c>
      <c r="Z39" s="3">
        <f t="shared" si="9"/>
        <v>851818.87056359951</v>
      </c>
      <c r="AA39" s="3">
        <f t="shared" si="9"/>
        <v>861359.47753440903</v>
      </c>
      <c r="AB39" s="3">
        <f t="shared" si="9"/>
        <v>870944.5432288656</v>
      </c>
      <c r="AC39" s="3">
        <f t="shared" si="9"/>
        <v>880571.70149602462</v>
      </c>
      <c r="AD39" s="3">
        <f t="shared" si="9"/>
        <v>890238.45704312844</v>
      </c>
      <c r="AE39" s="3">
        <f t="shared" si="9"/>
        <v>899942.18060092349</v>
      </c>
      <c r="AF39" s="3">
        <f t="shared" si="9"/>
        <v>909680.10392671335</v>
      </c>
      <c r="AG39" s="3">
        <f t="shared" si="9"/>
        <v>919449.31463993713</v>
      </c>
    </row>
    <row r="40" spans="1:33" x14ac:dyDescent="0.2">
      <c r="A40" s="1" t="s">
        <v>35</v>
      </c>
      <c r="B40" s="1"/>
      <c r="C40" s="12">
        <f>NPV(C10/100,C39:AG39)</f>
        <v>-6.9087597532807103E-9</v>
      </c>
    </row>
    <row r="41" spans="1:33" x14ac:dyDescent="0.2">
      <c r="A41" s="1" t="s">
        <v>36</v>
      </c>
      <c r="B41" s="1"/>
      <c r="C41" s="15">
        <f>IRR(C39:AG39)</f>
        <v>6.999999999999984E-2</v>
      </c>
    </row>
    <row r="43" spans="1:33" x14ac:dyDescent="0.2">
      <c r="A43" t="s">
        <v>37</v>
      </c>
      <c r="D43" s="3">
        <f t="shared" ref="D43:AG43" si="10">D35/$C$11</f>
        <v>506840.51439160318</v>
      </c>
      <c r="E43" s="3">
        <f t="shared" si="10"/>
        <v>511367.65992815362</v>
      </c>
      <c r="F43" s="3">
        <f t="shared" si="10"/>
        <v>517710.18421492929</v>
      </c>
      <c r="G43" s="3">
        <f t="shared" si="10"/>
        <v>524107.62964434712</v>
      </c>
      <c r="H43" s="3">
        <f t="shared" si="10"/>
        <v>530559.58748488629</v>
      </c>
      <c r="I43" s="3">
        <f t="shared" si="10"/>
        <v>537065.60487617366</v>
      </c>
      <c r="J43" s="3">
        <f t="shared" si="10"/>
        <v>543625.18299226183</v>
      </c>
      <c r="K43" s="3">
        <f t="shared" si="10"/>
        <v>550237.77514098608</v>
      </c>
      <c r="L43" s="3">
        <f t="shared" si="10"/>
        <v>556902.78479731258</v>
      </c>
      <c r="M43" s="3">
        <f t="shared" si="10"/>
        <v>563619.56356852676</v>
      </c>
      <c r="N43" s="3">
        <f t="shared" si="10"/>
        <v>570387.40908904199</v>
      </c>
      <c r="O43" s="3">
        <f t="shared" si="10"/>
        <v>577205.56284253648</v>
      </c>
      <c r="P43" s="3">
        <f t="shared" si="10"/>
        <v>584073.20790905808</v>
      </c>
      <c r="Q43" s="3">
        <f t="shared" si="10"/>
        <v>590989.46663465607</v>
      </c>
      <c r="R43" s="3">
        <f t="shared" si="10"/>
        <v>597953.39822102594</v>
      </c>
      <c r="S43" s="3">
        <f t="shared" si="10"/>
        <v>604963.99623257155</v>
      </c>
      <c r="T43" s="3">
        <f t="shared" si="10"/>
        <v>612020.18601820897</v>
      </c>
      <c r="U43" s="3">
        <f t="shared" si="10"/>
        <v>619120.82204514707</v>
      </c>
      <c r="V43" s="3">
        <f t="shared" si="10"/>
        <v>626264.68514180009</v>
      </c>
      <c r="W43" s="3">
        <f t="shared" si="10"/>
        <v>633450.47964688658</v>
      </c>
      <c r="X43" s="3">
        <f t="shared" si="10"/>
        <v>640676.83046168974</v>
      </c>
      <c r="Y43" s="3">
        <f t="shared" si="10"/>
        <v>647942.28000234347</v>
      </c>
      <c r="Z43" s="3">
        <f t="shared" si="10"/>
        <v>655245.28504892264</v>
      </c>
      <c r="AA43" s="3">
        <f t="shared" si="10"/>
        <v>662584.21348800696</v>
      </c>
      <c r="AB43" s="3">
        <f t="shared" si="10"/>
        <v>669957.3409452812</v>
      </c>
      <c r="AC43" s="3">
        <f t="shared" si="10"/>
        <v>677362.84730463428</v>
      </c>
      <c r="AD43" s="3">
        <f t="shared" si="10"/>
        <v>684798.81311009882</v>
      </c>
      <c r="AE43" s="3">
        <f t="shared" si="10"/>
        <v>692263.21584686416</v>
      </c>
      <c r="AF43" s="3">
        <f t="shared" si="10"/>
        <v>699753.92609747173</v>
      </c>
      <c r="AG43" s="3">
        <f t="shared" si="10"/>
        <v>707268.70356918243</v>
      </c>
    </row>
    <row r="44" spans="1:33" x14ac:dyDescent="0.2">
      <c r="A44" t="s">
        <v>42</v>
      </c>
      <c r="C44" s="11">
        <f>NPV(C9/100,D43:AG43)</f>
        <v>8631698.6707127448</v>
      </c>
    </row>
    <row r="45" spans="1:33" x14ac:dyDescent="0.2">
      <c r="A45" t="s">
        <v>38</v>
      </c>
      <c r="C45" s="11"/>
      <c r="D45" s="11">
        <f>C44</f>
        <v>8631698.6707127448</v>
      </c>
      <c r="E45" s="11">
        <f>D48</f>
        <v>8578022.3365335613</v>
      </c>
      <c r="F45" s="11">
        <f t="shared" ref="F45:AG45" si="11">E48</f>
        <v>8517000.849273419</v>
      </c>
      <c r="G45" s="11">
        <f t="shared" si="11"/>
        <v>8446433.2096453439</v>
      </c>
      <c r="H45" s="11">
        <f t="shared" si="11"/>
        <v>8365763.3235073769</v>
      </c>
      <c r="I45" s="11">
        <f t="shared" si="11"/>
        <v>8274406.3105066279</v>
      </c>
      <c r="J45" s="11">
        <f t="shared" si="11"/>
        <v>8171747.0369320521</v>
      </c>
      <c r="K45" s="11">
        <f t="shared" si="11"/>
        <v>8057138.5733787231</v>
      </c>
      <c r="L45" s="11">
        <f t="shared" si="11"/>
        <v>7929900.5733401198</v>
      </c>
      <c r="M45" s="11">
        <f t="shared" si="11"/>
        <v>7789317.5686431639</v>
      </c>
      <c r="N45" s="11">
        <f t="shared" si="11"/>
        <v>7634637.1774284029</v>
      </c>
      <c r="O45" s="11">
        <f t="shared" si="11"/>
        <v>7465068.2201543525</v>
      </c>
      <c r="P45" s="11">
        <f t="shared" si="11"/>
        <v>7279778.7388699194</v>
      </c>
      <c r="Q45" s="11">
        <f t="shared" si="11"/>
        <v>7077893.9147515325</v>
      </c>
      <c r="R45" s="11">
        <f t="shared" si="11"/>
        <v>6858493.8786413316</v>
      </c>
      <c r="S45" s="11">
        <f t="shared" si="11"/>
        <v>6620611.4090489754</v>
      </c>
      <c r="T45" s="11">
        <f t="shared" si="11"/>
        <v>6363229.5117914751</v>
      </c>
      <c r="U45" s="11">
        <f t="shared" si="11"/>
        <v>6085278.8751423182</v>
      </c>
      <c r="V45" s="11">
        <f t="shared" si="11"/>
        <v>5785635.1940421425</v>
      </c>
      <c r="W45" s="11">
        <f t="shared" si="11"/>
        <v>5463116.3565875553</v>
      </c>
      <c r="X45" s="11">
        <f t="shared" si="11"/>
        <v>5116479.485661515</v>
      </c>
      <c r="Y45" s="11">
        <f t="shared" si="11"/>
        <v>4744417.8281970546</v>
      </c>
      <c r="Z45" s="11">
        <f t="shared" si="11"/>
        <v>4345557.4841750562</v>
      </c>
      <c r="AA45" s="11">
        <f t="shared" si="11"/>
        <v>3918453.9670453239</v>
      </c>
      <c r="AB45" s="11">
        <f t="shared" si="11"/>
        <v>3461588.5868271966</v>
      </c>
      <c r="AC45" s="11">
        <f t="shared" si="11"/>
        <v>2973364.6466903435</v>
      </c>
      <c r="AD45" s="11">
        <f t="shared" si="11"/>
        <v>2452103.4433369525</v>
      </c>
      <c r="AE45" s="11">
        <f t="shared" si="11"/>
        <v>1896040.0610020435</v>
      </c>
      <c r="AF45" s="11">
        <f t="shared" si="11"/>
        <v>1303318.9483577865</v>
      </c>
      <c r="AG45" s="11">
        <f t="shared" si="11"/>
        <v>671989.26704909862</v>
      </c>
    </row>
    <row r="46" spans="1:33" x14ac:dyDescent="0.2">
      <c r="A46" t="s">
        <v>39</v>
      </c>
      <c r="D46" s="11">
        <f>D45*$C$9/100</f>
        <v>453164.18021241913</v>
      </c>
      <c r="E46" s="11">
        <f>E45*$C$9/100</f>
        <v>450346.17266801192</v>
      </c>
      <c r="F46" s="11">
        <f t="shared" ref="F46:AG46" si="12">F45*$C$9/100</f>
        <v>447142.54458685452</v>
      </c>
      <c r="G46" s="11">
        <f t="shared" si="12"/>
        <v>443437.74350638053</v>
      </c>
      <c r="H46" s="11">
        <f t="shared" si="12"/>
        <v>439202.57448413729</v>
      </c>
      <c r="I46" s="11">
        <f t="shared" si="12"/>
        <v>434406.33130159794</v>
      </c>
      <c r="J46" s="11">
        <f t="shared" si="12"/>
        <v>429016.71943893278</v>
      </c>
      <c r="K46" s="11">
        <f t="shared" si="12"/>
        <v>422999.77510238299</v>
      </c>
      <c r="L46" s="11">
        <f t="shared" si="12"/>
        <v>416319.78010035626</v>
      </c>
      <c r="M46" s="11">
        <f t="shared" si="12"/>
        <v>408939.1723537661</v>
      </c>
      <c r="N46" s="11">
        <f t="shared" si="12"/>
        <v>400818.45181499119</v>
      </c>
      <c r="O46" s="11">
        <f t="shared" si="12"/>
        <v>391916.0815581035</v>
      </c>
      <c r="P46" s="11">
        <f t="shared" si="12"/>
        <v>382188.38379067078</v>
      </c>
      <c r="Q46" s="11">
        <f t="shared" si="12"/>
        <v>371589.43052445544</v>
      </c>
      <c r="R46" s="11">
        <f t="shared" si="12"/>
        <v>360070.92862866988</v>
      </c>
      <c r="S46" s="11">
        <f t="shared" si="12"/>
        <v>347582.09897507122</v>
      </c>
      <c r="T46" s="11">
        <f t="shared" si="12"/>
        <v>334069.5493690524</v>
      </c>
      <c r="U46" s="11">
        <f t="shared" si="12"/>
        <v>319477.1409449717</v>
      </c>
      <c r="V46" s="11">
        <f t="shared" si="12"/>
        <v>303745.84768721252</v>
      </c>
      <c r="W46" s="11">
        <f t="shared" si="12"/>
        <v>286813.60872084665</v>
      </c>
      <c r="X46" s="11">
        <f t="shared" si="12"/>
        <v>268615.17299722956</v>
      </c>
      <c r="Y46" s="11">
        <f t="shared" si="12"/>
        <v>249081.93598034538</v>
      </c>
      <c r="Z46" s="11">
        <f t="shared" si="12"/>
        <v>228141.76791919046</v>
      </c>
      <c r="AA46" s="11">
        <f t="shared" si="12"/>
        <v>205718.83326987951</v>
      </c>
      <c r="AB46" s="11">
        <f t="shared" si="12"/>
        <v>181733.40080842783</v>
      </c>
      <c r="AC46" s="11">
        <f t="shared" si="12"/>
        <v>156101.64395124302</v>
      </c>
      <c r="AD46" s="11">
        <f t="shared" si="12"/>
        <v>128735.43077518999</v>
      </c>
      <c r="AE46" s="11">
        <f t="shared" si="12"/>
        <v>99542.103202607279</v>
      </c>
      <c r="AF46" s="11">
        <f t="shared" si="12"/>
        <v>68424.244788783792</v>
      </c>
      <c r="AG46" s="11">
        <f t="shared" si="12"/>
        <v>35279.436520077681</v>
      </c>
    </row>
    <row r="47" spans="1:33" s="3" customFormat="1" x14ac:dyDescent="0.2">
      <c r="A47" s="3" t="s">
        <v>40</v>
      </c>
      <c r="D47" s="3">
        <f>IF(D45&lt;1,0,D43-D46)</f>
        <v>53676.33417918405</v>
      </c>
      <c r="E47" s="3">
        <f>IF(E45&lt;1,0,E43-E46)</f>
        <v>61021.487260141701</v>
      </c>
      <c r="F47" s="3">
        <f t="shared" ref="F47:AG47" si="13">IF(F45&lt;1,0,F43-F46)</f>
        <v>70567.639628074772</v>
      </c>
      <c r="G47" s="3">
        <f t="shared" si="13"/>
        <v>80669.88613796659</v>
      </c>
      <c r="H47" s="3">
        <f t="shared" si="13"/>
        <v>91357.013000748993</v>
      </c>
      <c r="I47" s="3">
        <f t="shared" si="13"/>
        <v>102659.27357457572</v>
      </c>
      <c r="J47" s="3">
        <f t="shared" si="13"/>
        <v>114608.46355332906</v>
      </c>
      <c r="K47" s="3">
        <f t="shared" si="13"/>
        <v>127238.00003860309</v>
      </c>
      <c r="L47" s="3">
        <f t="shared" si="13"/>
        <v>140583.00469695631</v>
      </c>
      <c r="M47" s="3">
        <f t="shared" si="13"/>
        <v>154680.39121476066</v>
      </c>
      <c r="N47" s="3">
        <f t="shared" si="13"/>
        <v>169568.9572740508</v>
      </c>
      <c r="O47" s="3">
        <f t="shared" si="13"/>
        <v>185289.48128443299</v>
      </c>
      <c r="P47" s="3">
        <f t="shared" si="13"/>
        <v>201884.8241183873</v>
      </c>
      <c r="Q47" s="3">
        <f t="shared" si="13"/>
        <v>219400.03611020063</v>
      </c>
      <c r="R47" s="3">
        <f t="shared" si="13"/>
        <v>237882.46959235606</v>
      </c>
      <c r="S47" s="3">
        <f t="shared" si="13"/>
        <v>257381.89725750033</v>
      </c>
      <c r="T47" s="3">
        <f t="shared" si="13"/>
        <v>277950.63664915657</v>
      </c>
      <c r="U47" s="3">
        <f t="shared" si="13"/>
        <v>299643.68110017537</v>
      </c>
      <c r="V47" s="3">
        <f t="shared" si="13"/>
        <v>322518.83745458757</v>
      </c>
      <c r="W47" s="3">
        <f t="shared" si="13"/>
        <v>346636.87092603993</v>
      </c>
      <c r="X47" s="3">
        <f t="shared" si="13"/>
        <v>372061.65746446018</v>
      </c>
      <c r="Y47" s="3">
        <f t="shared" si="13"/>
        <v>398860.34402199811</v>
      </c>
      <c r="Z47" s="3">
        <f t="shared" si="13"/>
        <v>427103.51712973218</v>
      </c>
      <c r="AA47" s="3">
        <f t="shared" si="13"/>
        <v>456865.38021812745</v>
      </c>
      <c r="AB47" s="3">
        <f t="shared" si="13"/>
        <v>488223.94013685337</v>
      </c>
      <c r="AC47" s="3">
        <f t="shared" si="13"/>
        <v>521261.20335339126</v>
      </c>
      <c r="AD47" s="3">
        <f t="shared" si="13"/>
        <v>556063.38233490882</v>
      </c>
      <c r="AE47" s="3">
        <f t="shared" si="13"/>
        <v>592721.11264425691</v>
      </c>
      <c r="AF47" s="3">
        <f t="shared" si="13"/>
        <v>631329.6813086879</v>
      </c>
      <c r="AG47" s="3">
        <f t="shared" si="13"/>
        <v>671989.26704910479</v>
      </c>
    </row>
    <row r="48" spans="1:33" x14ac:dyDescent="0.2">
      <c r="A48" t="s">
        <v>41</v>
      </c>
      <c r="D48" s="11">
        <f>D45-D47</f>
        <v>8578022.3365335613</v>
      </c>
      <c r="E48" s="11">
        <f>E45-E47</f>
        <v>8517000.849273419</v>
      </c>
      <c r="F48" s="11">
        <f t="shared" ref="F48:AG48" si="14">F45-F47</f>
        <v>8446433.2096453439</v>
      </c>
      <c r="G48" s="11">
        <f t="shared" si="14"/>
        <v>8365763.3235073769</v>
      </c>
      <c r="H48" s="11">
        <f t="shared" si="14"/>
        <v>8274406.3105066279</v>
      </c>
      <c r="I48" s="11">
        <f t="shared" si="14"/>
        <v>8171747.0369320521</v>
      </c>
      <c r="J48" s="11">
        <f t="shared" si="14"/>
        <v>8057138.5733787231</v>
      </c>
      <c r="K48" s="11">
        <f t="shared" si="14"/>
        <v>7929900.5733401198</v>
      </c>
      <c r="L48" s="11">
        <f t="shared" si="14"/>
        <v>7789317.5686431639</v>
      </c>
      <c r="M48" s="11">
        <f t="shared" si="14"/>
        <v>7634637.1774284029</v>
      </c>
      <c r="N48" s="11">
        <f t="shared" si="14"/>
        <v>7465068.2201543525</v>
      </c>
      <c r="O48" s="11">
        <f t="shared" si="14"/>
        <v>7279778.7388699194</v>
      </c>
      <c r="P48" s="11">
        <f t="shared" si="14"/>
        <v>7077893.9147515325</v>
      </c>
      <c r="Q48" s="11">
        <f t="shared" si="14"/>
        <v>6858493.8786413316</v>
      </c>
      <c r="R48" s="11">
        <f t="shared" si="14"/>
        <v>6620611.4090489754</v>
      </c>
      <c r="S48" s="11">
        <f t="shared" si="14"/>
        <v>6363229.5117914751</v>
      </c>
      <c r="T48" s="11">
        <f t="shared" si="14"/>
        <v>6085278.8751423182</v>
      </c>
      <c r="U48" s="11">
        <f t="shared" si="14"/>
        <v>5785635.1940421425</v>
      </c>
      <c r="V48" s="11">
        <f t="shared" si="14"/>
        <v>5463116.3565875553</v>
      </c>
      <c r="W48" s="11">
        <f t="shared" si="14"/>
        <v>5116479.485661515</v>
      </c>
      <c r="X48" s="11">
        <f t="shared" si="14"/>
        <v>4744417.8281970546</v>
      </c>
      <c r="Y48" s="11">
        <f t="shared" si="14"/>
        <v>4345557.4841750562</v>
      </c>
      <c r="Z48" s="11">
        <f t="shared" si="14"/>
        <v>3918453.9670453239</v>
      </c>
      <c r="AA48" s="11">
        <f t="shared" si="14"/>
        <v>3461588.5868271966</v>
      </c>
      <c r="AB48" s="11">
        <f t="shared" si="14"/>
        <v>2973364.6466903435</v>
      </c>
      <c r="AC48" s="11">
        <f t="shared" si="14"/>
        <v>2452103.4433369525</v>
      </c>
      <c r="AD48" s="11">
        <f t="shared" si="14"/>
        <v>1896040.0610020435</v>
      </c>
      <c r="AE48" s="11">
        <f t="shared" si="14"/>
        <v>1303318.9483577865</v>
      </c>
      <c r="AF48" s="11">
        <f t="shared" si="14"/>
        <v>671989.26704909862</v>
      </c>
      <c r="AG48" s="11">
        <f t="shared" si="14"/>
        <v>-6.1700120568275452E-9</v>
      </c>
    </row>
    <row r="50" spans="1:33" x14ac:dyDescent="0.2">
      <c r="A50" t="s">
        <v>43</v>
      </c>
      <c r="C50" s="3">
        <f>-(C37+C44)</f>
        <v>568301.32928725518</v>
      </c>
    </row>
    <row r="51" spans="1:33" x14ac:dyDescent="0.2">
      <c r="A51" t="s">
        <v>44</v>
      </c>
      <c r="C51" s="3">
        <f>-C50</f>
        <v>-568301.32928725518</v>
      </c>
      <c r="D51" s="3">
        <f>D39-D46-D47</f>
        <v>152052.15431748098</v>
      </c>
      <c r="E51" s="3">
        <f t="shared" ref="E51:AG51" si="15">E39-E46-E47</f>
        <v>153410.29797844612</v>
      </c>
      <c r="F51" s="3">
        <f t="shared" si="15"/>
        <v>155313.05526447884</v>
      </c>
      <c r="G51" s="3">
        <f t="shared" si="15"/>
        <v>157232.28889330418</v>
      </c>
      <c r="H51" s="3">
        <f t="shared" si="15"/>
        <v>159167.87624546594</v>
      </c>
      <c r="I51" s="3">
        <f t="shared" si="15"/>
        <v>161119.68146285205</v>
      </c>
      <c r="J51" s="3">
        <f t="shared" si="15"/>
        <v>163087.55489767855</v>
      </c>
      <c r="K51" s="3">
        <f t="shared" si="15"/>
        <v>165071.3325422958</v>
      </c>
      <c r="L51" s="3">
        <f t="shared" si="15"/>
        <v>167070.83543919376</v>
      </c>
      <c r="M51" s="3">
        <f t="shared" si="15"/>
        <v>169085.86907055811</v>
      </c>
      <c r="N51" s="3">
        <f t="shared" si="15"/>
        <v>171116.22272671259</v>
      </c>
      <c r="O51" s="3">
        <f t="shared" si="15"/>
        <v>173161.66885276092</v>
      </c>
      <c r="P51" s="3">
        <f t="shared" si="15"/>
        <v>175221.96237271745</v>
      </c>
      <c r="Q51" s="3">
        <f t="shared" si="15"/>
        <v>177296.83999039687</v>
      </c>
      <c r="R51" s="3">
        <f t="shared" si="15"/>
        <v>179386.01946630783</v>
      </c>
      <c r="S51" s="3">
        <f t="shared" si="15"/>
        <v>181489.19886977156</v>
      </c>
      <c r="T51" s="3">
        <f t="shared" si="15"/>
        <v>183606.05580546276</v>
      </c>
      <c r="U51" s="3">
        <f t="shared" si="15"/>
        <v>185736.24661354418</v>
      </c>
      <c r="V51" s="3">
        <f t="shared" si="15"/>
        <v>187879.40554254001</v>
      </c>
      <c r="W51" s="3">
        <f t="shared" si="15"/>
        <v>190035.14389406593</v>
      </c>
      <c r="X51" s="3">
        <f t="shared" si="15"/>
        <v>192203.04913850693</v>
      </c>
      <c r="Y51" s="3">
        <f t="shared" si="15"/>
        <v>194382.68400070304</v>
      </c>
      <c r="Z51" s="3">
        <f t="shared" si="15"/>
        <v>196573.58551467687</v>
      </c>
      <c r="AA51" s="3">
        <f t="shared" si="15"/>
        <v>198775.26404640201</v>
      </c>
      <c r="AB51" s="3">
        <f t="shared" si="15"/>
        <v>200987.2022835844</v>
      </c>
      <c r="AC51" s="3">
        <f t="shared" si="15"/>
        <v>203208.85419139033</v>
      </c>
      <c r="AD51" s="3">
        <f t="shared" si="15"/>
        <v>205439.64393302961</v>
      </c>
      <c r="AE51" s="3">
        <f t="shared" si="15"/>
        <v>207678.96475405933</v>
      </c>
      <c r="AF51" s="3">
        <f t="shared" si="15"/>
        <v>209926.17782924161</v>
      </c>
      <c r="AG51" s="3">
        <f t="shared" si="15"/>
        <v>212180.6110707547</v>
      </c>
    </row>
    <row r="52" spans="1:33" x14ac:dyDescent="0.2">
      <c r="A52" s="1" t="s">
        <v>46</v>
      </c>
      <c r="B52" s="1"/>
      <c r="C52" s="12">
        <f>NPV(C9/100,C51:AG51)</f>
        <v>1920387.9068185927</v>
      </c>
    </row>
    <row r="53" spans="1:33" x14ac:dyDescent="0.2">
      <c r="A53" s="1" t="s">
        <v>47</v>
      </c>
      <c r="B53" s="1"/>
      <c r="C53" s="15">
        <f>IRR(C51:AG51)</f>
        <v>0.27884890059107104</v>
      </c>
    </row>
    <row r="55" spans="1:33" x14ac:dyDescent="0.2">
      <c r="A55" t="s">
        <v>48</v>
      </c>
      <c r="C55" s="11">
        <f>C44</f>
        <v>8631698.6707127448</v>
      </c>
    </row>
    <row r="56" spans="1:33" x14ac:dyDescent="0.2">
      <c r="A56" t="s">
        <v>49</v>
      </c>
      <c r="C56" s="3">
        <f>C50</f>
        <v>568301.32928725518</v>
      </c>
    </row>
    <row r="57" spans="1:33" x14ac:dyDescent="0.2">
      <c r="A57" s="1" t="s">
        <v>50</v>
      </c>
      <c r="B57" s="1"/>
      <c r="C57" s="13">
        <f>C55/C56</f>
        <v>15.188594898305688</v>
      </c>
    </row>
    <row r="59" spans="1:33" x14ac:dyDescent="0.2">
      <c r="A59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3AACC-21F8-4480-8E95-871E5892BDA5}">
  <dimension ref="A1:AG59"/>
  <sheetViews>
    <sheetView topLeftCell="A13" zoomScale="103" zoomScaleNormal="110" workbookViewId="0">
      <selection activeCell="D26" sqref="D26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(5*1000000*H4)</f>
        <v>8560000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8560000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5*1000000*J4</f>
        <v>65000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19">
        <v>6838.28</v>
      </c>
      <c r="D13" t="s">
        <v>54</v>
      </c>
      <c r="E13" t="s">
        <v>59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6154.4520000000002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3">
        <v>109.27705630354544</v>
      </c>
      <c r="D19" t="s">
        <v>19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6154.4520000000002</v>
      </c>
      <c r="E26" s="8">
        <f>D26*(1-C15/100)</f>
        <v>6105.2163840000003</v>
      </c>
      <c r="F26" s="8">
        <f>E26*(1-$C$16/100)</f>
        <v>6074.69030208</v>
      </c>
      <c r="G26" s="8">
        <f t="shared" ref="G26:AG26" si="2">F26*(1-$C$16/100)</f>
        <v>6044.3168505696003</v>
      </c>
      <c r="H26" s="8">
        <f t="shared" si="2"/>
        <v>6014.0952663167527</v>
      </c>
      <c r="I26" s="8">
        <f t="shared" si="2"/>
        <v>5984.0247899851693</v>
      </c>
      <c r="J26" s="8">
        <f t="shared" si="2"/>
        <v>5954.1046660352431</v>
      </c>
      <c r="K26" s="8">
        <f t="shared" si="2"/>
        <v>5924.3341427050673</v>
      </c>
      <c r="L26" s="8">
        <f t="shared" si="2"/>
        <v>5894.7124719915419</v>
      </c>
      <c r="M26" s="8">
        <f t="shared" si="2"/>
        <v>5865.2389096315837</v>
      </c>
      <c r="N26" s="8">
        <f t="shared" si="2"/>
        <v>5835.9127150834256</v>
      </c>
      <c r="O26" s="8">
        <f t="shared" si="2"/>
        <v>5806.7331515080086</v>
      </c>
      <c r="P26" s="8">
        <f t="shared" si="2"/>
        <v>5777.6994857504687</v>
      </c>
      <c r="Q26" s="8">
        <f t="shared" si="2"/>
        <v>5748.8109883217166</v>
      </c>
      <c r="R26" s="8">
        <f t="shared" si="2"/>
        <v>5720.0669333801079</v>
      </c>
      <c r="S26" s="8">
        <f t="shared" si="2"/>
        <v>5691.4665987132075</v>
      </c>
      <c r="T26" s="8">
        <f t="shared" si="2"/>
        <v>5663.0092657196419</v>
      </c>
      <c r="U26" s="8">
        <f t="shared" si="2"/>
        <v>5634.6942193910436</v>
      </c>
      <c r="V26" s="8">
        <f t="shared" si="2"/>
        <v>5606.5207482940887</v>
      </c>
      <c r="W26" s="8">
        <f t="shared" si="2"/>
        <v>5578.488144552618</v>
      </c>
      <c r="X26" s="8">
        <f t="shared" si="2"/>
        <v>5550.5957038298548</v>
      </c>
      <c r="Y26" s="8">
        <f t="shared" si="2"/>
        <v>5522.8427253107056</v>
      </c>
      <c r="Z26" s="8">
        <f t="shared" si="2"/>
        <v>5495.2285116841522</v>
      </c>
      <c r="AA26" s="8">
        <f t="shared" si="2"/>
        <v>5467.7523691257311</v>
      </c>
      <c r="AB26" s="8">
        <f t="shared" si="2"/>
        <v>5440.413607280102</v>
      </c>
      <c r="AC26" s="8">
        <f t="shared" si="2"/>
        <v>5413.2115392437017</v>
      </c>
      <c r="AD26" s="8">
        <f t="shared" si="2"/>
        <v>5386.1454815474835</v>
      </c>
      <c r="AE26" s="8">
        <f t="shared" si="2"/>
        <v>5359.2147541397462</v>
      </c>
      <c r="AF26" s="8">
        <f t="shared" si="2"/>
        <v>5332.4186803690473</v>
      </c>
      <c r="AG26" s="8">
        <f t="shared" si="2"/>
        <v>5305.7565869672017</v>
      </c>
    </row>
    <row r="27" spans="1:33" s="8" customFormat="1" x14ac:dyDescent="0.2">
      <c r="A27" s="8" t="s">
        <v>27</v>
      </c>
      <c r="D27" s="8">
        <f>(1-$C$17/100)*D26</f>
        <v>6154.4520000000002</v>
      </c>
      <c r="E27" s="8">
        <f t="shared" ref="E27:AG27" si="3">(1-$C$17/100)*E26</f>
        <v>6105.2163840000003</v>
      </c>
      <c r="F27" s="8">
        <f t="shared" si="3"/>
        <v>6074.69030208</v>
      </c>
      <c r="G27" s="8">
        <f t="shared" si="3"/>
        <v>6044.3168505696003</v>
      </c>
      <c r="H27" s="8">
        <f t="shared" si="3"/>
        <v>6014.0952663167527</v>
      </c>
      <c r="I27" s="8">
        <f t="shared" si="3"/>
        <v>5984.0247899851693</v>
      </c>
      <c r="J27" s="8">
        <f t="shared" si="3"/>
        <v>5954.1046660352431</v>
      </c>
      <c r="K27" s="8">
        <f t="shared" si="3"/>
        <v>5924.3341427050673</v>
      </c>
      <c r="L27" s="8">
        <f t="shared" si="3"/>
        <v>5894.7124719915419</v>
      </c>
      <c r="M27" s="8">
        <f t="shared" si="3"/>
        <v>5865.2389096315837</v>
      </c>
      <c r="N27" s="8">
        <f t="shared" si="3"/>
        <v>5835.9127150834256</v>
      </c>
      <c r="O27" s="8">
        <f t="shared" si="3"/>
        <v>5806.7331515080086</v>
      </c>
      <c r="P27" s="8">
        <f t="shared" si="3"/>
        <v>5777.6994857504687</v>
      </c>
      <c r="Q27" s="8">
        <f t="shared" si="3"/>
        <v>5748.8109883217166</v>
      </c>
      <c r="R27" s="8">
        <f t="shared" si="3"/>
        <v>5720.0669333801079</v>
      </c>
      <c r="S27" s="8">
        <f t="shared" si="3"/>
        <v>5691.4665987132075</v>
      </c>
      <c r="T27" s="8">
        <f t="shared" si="3"/>
        <v>5663.0092657196419</v>
      </c>
      <c r="U27" s="8">
        <f t="shared" si="3"/>
        <v>5634.6942193910436</v>
      </c>
      <c r="V27" s="8">
        <f t="shared" si="3"/>
        <v>5606.5207482940887</v>
      </c>
      <c r="W27" s="8">
        <f t="shared" si="3"/>
        <v>5578.488144552618</v>
      </c>
      <c r="X27" s="8">
        <f t="shared" si="3"/>
        <v>5550.5957038298548</v>
      </c>
      <c r="Y27" s="8">
        <f t="shared" si="3"/>
        <v>5522.8427253107056</v>
      </c>
      <c r="Z27" s="8">
        <f t="shared" si="3"/>
        <v>5495.2285116841522</v>
      </c>
      <c r="AA27" s="8">
        <f t="shared" si="3"/>
        <v>5467.7523691257311</v>
      </c>
      <c r="AB27" s="8">
        <f t="shared" si="3"/>
        <v>5440.413607280102</v>
      </c>
      <c r="AC27" s="8">
        <f t="shared" si="3"/>
        <v>5413.2115392437017</v>
      </c>
      <c r="AD27" s="8">
        <f t="shared" si="3"/>
        <v>5386.1454815474835</v>
      </c>
      <c r="AE27" s="8">
        <f t="shared" si="3"/>
        <v>5359.2147541397462</v>
      </c>
      <c r="AF27" s="8">
        <f t="shared" si="3"/>
        <v>5332.4186803690473</v>
      </c>
      <c r="AG27" s="8">
        <f t="shared" si="3"/>
        <v>5305.7565869672017</v>
      </c>
    </row>
    <row r="29" spans="1:33" x14ac:dyDescent="0.2">
      <c r="A29" t="s">
        <v>28</v>
      </c>
      <c r="D29" s="3">
        <f>C19</f>
        <v>109.27705630354544</v>
      </c>
      <c r="E29" s="3">
        <f>D29*(1+$C$20/100)</f>
        <v>111.46259742961635</v>
      </c>
      <c r="F29" s="3">
        <f t="shared" ref="F29:AG29" si="4">E29*(1+$C$20/100)</f>
        <v>113.69184937820869</v>
      </c>
      <c r="G29" s="3">
        <f t="shared" si="4"/>
        <v>115.96568636577287</v>
      </c>
      <c r="H29" s="3">
        <f t="shared" si="4"/>
        <v>118.28500009308833</v>
      </c>
      <c r="I29" s="3">
        <f t="shared" si="4"/>
        <v>120.6507000949501</v>
      </c>
      <c r="J29" s="3">
        <f t="shared" si="4"/>
        <v>123.0637140968491</v>
      </c>
      <c r="K29" s="3">
        <f t="shared" si="4"/>
        <v>125.52498837878608</v>
      </c>
      <c r="L29" s="3">
        <f t="shared" si="4"/>
        <v>128.03548814636181</v>
      </c>
      <c r="M29" s="3">
        <f t="shared" si="4"/>
        <v>130.59619790928906</v>
      </c>
      <c r="N29" s="3">
        <f t="shared" si="4"/>
        <v>133.20812186747483</v>
      </c>
      <c r="O29" s="3">
        <f t="shared" si="4"/>
        <v>135.87228430482432</v>
      </c>
      <c r="P29" s="3">
        <f t="shared" si="4"/>
        <v>138.5897299909208</v>
      </c>
      <c r="Q29" s="3">
        <f t="shared" si="4"/>
        <v>141.36152459073921</v>
      </c>
      <c r="R29" s="3">
        <f t="shared" si="4"/>
        <v>144.188755082554</v>
      </c>
      <c r="S29" s="3">
        <f t="shared" si="4"/>
        <v>147.07253018420508</v>
      </c>
      <c r="T29" s="3">
        <f t="shared" si="4"/>
        <v>150.01398078788918</v>
      </c>
      <c r="U29" s="3">
        <f t="shared" si="4"/>
        <v>153.01426040364697</v>
      </c>
      <c r="V29" s="3">
        <f t="shared" si="4"/>
        <v>156.07454561171991</v>
      </c>
      <c r="W29" s="3">
        <f t="shared" si="4"/>
        <v>159.19603652395432</v>
      </c>
      <c r="X29" s="3">
        <f t="shared" si="4"/>
        <v>162.37995725443341</v>
      </c>
      <c r="Y29" s="3">
        <f t="shared" si="4"/>
        <v>165.62755639952209</v>
      </c>
      <c r="Z29" s="3">
        <f t="shared" si="4"/>
        <v>168.94010752751254</v>
      </c>
      <c r="AA29" s="3">
        <f t="shared" si="4"/>
        <v>172.31890967806279</v>
      </c>
      <c r="AB29" s="3">
        <f t="shared" si="4"/>
        <v>175.76528787162405</v>
      </c>
      <c r="AC29" s="3">
        <f t="shared" si="4"/>
        <v>179.28059362905654</v>
      </c>
      <c r="AD29" s="3">
        <f t="shared" si="4"/>
        <v>182.86620550163767</v>
      </c>
      <c r="AE29" s="3">
        <f t="shared" si="4"/>
        <v>186.52352961167043</v>
      </c>
      <c r="AF29" s="3">
        <f t="shared" si="4"/>
        <v>190.25400020390384</v>
      </c>
      <c r="AG29" s="3">
        <f t="shared" si="4"/>
        <v>194.05908020798194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672540.39772146789</v>
      </c>
      <c r="E33" s="3">
        <f t="shared" ref="E33:AG33" si="6">E29*E27</f>
        <v>680503.27603049006</v>
      </c>
      <c r="F33" s="3">
        <f t="shared" si="6"/>
        <v>690642.77484334435</v>
      </c>
      <c r="G33" s="3">
        <f t="shared" si="6"/>
        <v>700933.35218851035</v>
      </c>
      <c r="H33" s="3">
        <f t="shared" si="6"/>
        <v>711377.25913611916</v>
      </c>
      <c r="I33" s="3">
        <f t="shared" si="6"/>
        <v>721976.78029724734</v>
      </c>
      <c r="J33" s="3">
        <f t="shared" si="6"/>
        <v>732734.23432367633</v>
      </c>
      <c r="K33" s="3">
        <f t="shared" si="6"/>
        <v>743651.97441509913</v>
      </c>
      <c r="L33" s="3">
        <f t="shared" si="6"/>
        <v>754732.38883388415</v>
      </c>
      <c r="M33" s="3">
        <f t="shared" si="6"/>
        <v>765977.90142750903</v>
      </c>
      <c r="N33" s="3">
        <f t="shared" si="6"/>
        <v>777390.97215877892</v>
      </c>
      <c r="O33" s="3">
        <f t="shared" si="6"/>
        <v>788974.09764394467</v>
      </c>
      <c r="P33" s="3">
        <f t="shared" si="6"/>
        <v>800729.81169883942</v>
      </c>
      <c r="Q33" s="3">
        <f t="shared" si="6"/>
        <v>812660.68589315214</v>
      </c>
      <c r="R33" s="3">
        <f t="shared" si="6"/>
        <v>824769.33011296007</v>
      </c>
      <c r="S33" s="3">
        <f t="shared" si="6"/>
        <v>837058.39313164318</v>
      </c>
      <c r="T33" s="3">
        <f t="shared" si="6"/>
        <v>849530.56318930478</v>
      </c>
      <c r="U33" s="3">
        <f t="shared" si="6"/>
        <v>862188.56858082546</v>
      </c>
      <c r="V33" s="3">
        <f t="shared" si="6"/>
        <v>875035.17825267976</v>
      </c>
      <c r="W33" s="3">
        <f t="shared" si="6"/>
        <v>888073.20240864472</v>
      </c>
      <c r="X33" s="3">
        <f t="shared" si="6"/>
        <v>901305.49312453356</v>
      </c>
      <c r="Y33" s="3">
        <f t="shared" si="6"/>
        <v>914734.94497208914</v>
      </c>
      <c r="Z33" s="3">
        <f t="shared" si="6"/>
        <v>928364.49565217341</v>
      </c>
      <c r="AA33" s="3">
        <f t="shared" si="6"/>
        <v>942197.1266373907</v>
      </c>
      <c r="AB33" s="3">
        <f t="shared" si="6"/>
        <v>956235.86382428778</v>
      </c>
      <c r="AC33" s="3">
        <f t="shared" si="6"/>
        <v>970483.77819526976</v>
      </c>
      <c r="AD33" s="3">
        <f t="shared" si="6"/>
        <v>984943.98649037932</v>
      </c>
      <c r="AE33" s="3">
        <f t="shared" si="6"/>
        <v>999619.651889086</v>
      </c>
      <c r="AF33" s="3">
        <f t="shared" si="6"/>
        <v>1014513.9847022333</v>
      </c>
      <c r="AG33" s="3">
        <f t="shared" si="6"/>
        <v>1029630.2430742966</v>
      </c>
    </row>
    <row r="34" spans="1:33" x14ac:dyDescent="0.2">
      <c r="A34" t="s">
        <v>32</v>
      </c>
      <c r="D34" s="3">
        <f>-C6</f>
        <v>-65000</v>
      </c>
      <c r="E34" s="3">
        <f>$D$34*E24</f>
        <v>-67015</v>
      </c>
      <c r="F34" s="3">
        <f t="shared" ref="F34:AG34" si="7">$D$34*F24</f>
        <v>-69092.464999999982</v>
      </c>
      <c r="G34" s="3">
        <f t="shared" si="7"/>
        <v>-71234.331414999979</v>
      </c>
      <c r="H34" s="3">
        <f t="shared" si="7"/>
        <v>-73442.595688864982</v>
      </c>
      <c r="I34" s="3">
        <f t="shared" si="7"/>
        <v>-75719.3161552198</v>
      </c>
      <c r="J34" s="3">
        <f t="shared" si="7"/>
        <v>-78066.614956031597</v>
      </c>
      <c r="K34" s="3">
        <f t="shared" si="7"/>
        <v>-80486.680019668565</v>
      </c>
      <c r="L34" s="3">
        <f t="shared" si="7"/>
        <v>-82981.767100278303</v>
      </c>
      <c r="M34" s="3">
        <f t="shared" si="7"/>
        <v>-85554.201880386914</v>
      </c>
      <c r="N34" s="3">
        <f t="shared" si="7"/>
        <v>-88206.382138678906</v>
      </c>
      <c r="O34" s="3">
        <f t="shared" si="7"/>
        <v>-90940.77998497794</v>
      </c>
      <c r="P34" s="3">
        <f t="shared" si="7"/>
        <v>-93759.944164512272</v>
      </c>
      <c r="Q34" s="3">
        <f t="shared" si="7"/>
        <v>-96666.502433612142</v>
      </c>
      <c r="R34" s="3">
        <f t="shared" si="7"/>
        <v>-99663.164009054104</v>
      </c>
      <c r="S34" s="3">
        <f t="shared" si="7"/>
        <v>-102752.72209333477</v>
      </c>
      <c r="T34" s="3">
        <f t="shared" si="7"/>
        <v>-105938.05647822816</v>
      </c>
      <c r="U34" s="3">
        <f t="shared" si="7"/>
        <v>-109222.13622905323</v>
      </c>
      <c r="V34" s="3">
        <f t="shared" si="7"/>
        <v>-112608.02245215386</v>
      </c>
      <c r="W34" s="3">
        <f t="shared" si="7"/>
        <v>-116098.87114817061</v>
      </c>
      <c r="X34" s="3">
        <f t="shared" si="7"/>
        <v>-119697.93615376391</v>
      </c>
      <c r="Y34" s="3">
        <f t="shared" si="7"/>
        <v>-123408.57217453058</v>
      </c>
      <c r="Z34" s="3">
        <f t="shared" si="7"/>
        <v>-127234.23791194103</v>
      </c>
      <c r="AA34" s="3">
        <f t="shared" si="7"/>
        <v>-131178.49928721119</v>
      </c>
      <c r="AB34" s="3">
        <f t="shared" si="7"/>
        <v>-135245.03276511471</v>
      </c>
      <c r="AC34" s="3">
        <f t="shared" si="7"/>
        <v>-139437.62878083327</v>
      </c>
      <c r="AD34" s="3">
        <f t="shared" si="7"/>
        <v>-143760.19527303908</v>
      </c>
      <c r="AE34" s="3">
        <f t="shared" si="7"/>
        <v>-148216.7613265033</v>
      </c>
      <c r="AF34" s="3">
        <f t="shared" si="7"/>
        <v>-152811.48092762491</v>
      </c>
      <c r="AG34" s="3">
        <f t="shared" si="7"/>
        <v>-157548.63683638128</v>
      </c>
    </row>
    <row r="35" spans="1:33" x14ac:dyDescent="0.2">
      <c r="A35" t="s">
        <v>33</v>
      </c>
      <c r="D35" s="3">
        <f>D33+D34</f>
        <v>607540.39772146789</v>
      </c>
      <c r="E35" s="3">
        <f t="shared" ref="E35:AG35" si="8">E33+E34</f>
        <v>613488.27603049006</v>
      </c>
      <c r="F35" s="3">
        <f t="shared" si="8"/>
        <v>621550.30984334438</v>
      </c>
      <c r="G35" s="3">
        <f t="shared" si="8"/>
        <v>629699.02077351033</v>
      </c>
      <c r="H35" s="3">
        <f t="shared" si="8"/>
        <v>637934.66344725422</v>
      </c>
      <c r="I35" s="3">
        <f t="shared" si="8"/>
        <v>646257.46414202754</v>
      </c>
      <c r="J35" s="3">
        <f t="shared" si="8"/>
        <v>654667.61936764477</v>
      </c>
      <c r="K35" s="3">
        <f t="shared" si="8"/>
        <v>663165.2943954306</v>
      </c>
      <c r="L35" s="3">
        <f t="shared" si="8"/>
        <v>671750.62173360586</v>
      </c>
      <c r="M35" s="3">
        <f t="shared" si="8"/>
        <v>680423.69954712212</v>
      </c>
      <c r="N35" s="3">
        <f t="shared" si="8"/>
        <v>689184.5900201</v>
      </c>
      <c r="O35" s="3">
        <f t="shared" si="8"/>
        <v>698033.31765896676</v>
      </c>
      <c r="P35" s="3">
        <f t="shared" si="8"/>
        <v>706969.86753432709</v>
      </c>
      <c r="Q35" s="3">
        <f t="shared" si="8"/>
        <v>715994.18345954001</v>
      </c>
      <c r="R35" s="3">
        <f t="shared" si="8"/>
        <v>725106.166103906</v>
      </c>
      <c r="S35" s="3">
        <f t="shared" si="8"/>
        <v>734305.67103830841</v>
      </c>
      <c r="T35" s="3">
        <f t="shared" si="8"/>
        <v>743592.5067110766</v>
      </c>
      <c r="U35" s="3">
        <f t="shared" si="8"/>
        <v>752966.43235177221</v>
      </c>
      <c r="V35" s="3">
        <f t="shared" si="8"/>
        <v>762427.15580052591</v>
      </c>
      <c r="W35" s="3">
        <f t="shared" si="8"/>
        <v>771974.33126047417</v>
      </c>
      <c r="X35" s="3">
        <f t="shared" si="8"/>
        <v>781607.55697076966</v>
      </c>
      <c r="Y35" s="3">
        <f t="shared" si="8"/>
        <v>791326.37279755855</v>
      </c>
      <c r="Z35" s="3">
        <f t="shared" si="8"/>
        <v>801130.2577402324</v>
      </c>
      <c r="AA35" s="3">
        <f t="shared" si="8"/>
        <v>811018.62735017948</v>
      </c>
      <c r="AB35" s="3">
        <f t="shared" si="8"/>
        <v>820990.8310591731</v>
      </c>
      <c r="AC35" s="3">
        <f t="shared" si="8"/>
        <v>831046.14941443643</v>
      </c>
      <c r="AD35" s="3">
        <f t="shared" si="8"/>
        <v>841183.79121734027</v>
      </c>
      <c r="AE35" s="3">
        <f t="shared" si="8"/>
        <v>851402.89056258276</v>
      </c>
      <c r="AF35" s="3">
        <f t="shared" si="8"/>
        <v>861702.50377460849</v>
      </c>
      <c r="AG35" s="3">
        <f t="shared" si="8"/>
        <v>872081.60623791534</v>
      </c>
    </row>
    <row r="37" spans="1:33" x14ac:dyDescent="0.2">
      <c r="A37" t="s">
        <v>34</v>
      </c>
      <c r="C37" s="3">
        <f>-C5</f>
        <v>-8560000</v>
      </c>
    </row>
    <row r="39" spans="1:33" x14ac:dyDescent="0.2">
      <c r="A39" t="s">
        <v>45</v>
      </c>
      <c r="C39" s="3">
        <f>C37+C35</f>
        <v>-8560000</v>
      </c>
      <c r="D39" s="3">
        <f t="shared" ref="D39:AG39" si="9">D37+D35</f>
        <v>607540.39772146789</v>
      </c>
      <c r="E39" s="3">
        <f t="shared" si="9"/>
        <v>613488.27603049006</v>
      </c>
      <c r="F39" s="3">
        <f t="shared" si="9"/>
        <v>621550.30984334438</v>
      </c>
      <c r="G39" s="3">
        <f t="shared" si="9"/>
        <v>629699.02077351033</v>
      </c>
      <c r="H39" s="3">
        <f t="shared" si="9"/>
        <v>637934.66344725422</v>
      </c>
      <c r="I39" s="3">
        <f t="shared" si="9"/>
        <v>646257.46414202754</v>
      </c>
      <c r="J39" s="3">
        <f t="shared" si="9"/>
        <v>654667.61936764477</v>
      </c>
      <c r="K39" s="3">
        <f t="shared" si="9"/>
        <v>663165.2943954306</v>
      </c>
      <c r="L39" s="3">
        <f t="shared" si="9"/>
        <v>671750.62173360586</v>
      </c>
      <c r="M39" s="3">
        <f t="shared" si="9"/>
        <v>680423.69954712212</v>
      </c>
      <c r="N39" s="3">
        <f t="shared" si="9"/>
        <v>689184.5900201</v>
      </c>
      <c r="O39" s="3">
        <f t="shared" si="9"/>
        <v>698033.31765896676</v>
      </c>
      <c r="P39" s="3">
        <f t="shared" si="9"/>
        <v>706969.86753432709</v>
      </c>
      <c r="Q39" s="3">
        <f t="shared" si="9"/>
        <v>715994.18345954001</v>
      </c>
      <c r="R39" s="3">
        <f t="shared" si="9"/>
        <v>725106.166103906</v>
      </c>
      <c r="S39" s="3">
        <f t="shared" si="9"/>
        <v>734305.67103830841</v>
      </c>
      <c r="T39" s="3">
        <f t="shared" si="9"/>
        <v>743592.5067110766</v>
      </c>
      <c r="U39" s="3">
        <f t="shared" si="9"/>
        <v>752966.43235177221</v>
      </c>
      <c r="V39" s="3">
        <f t="shared" si="9"/>
        <v>762427.15580052591</v>
      </c>
      <c r="W39" s="3">
        <f t="shared" si="9"/>
        <v>771974.33126047417</v>
      </c>
      <c r="X39" s="3">
        <f t="shared" si="9"/>
        <v>781607.55697076966</v>
      </c>
      <c r="Y39" s="3">
        <f t="shared" si="9"/>
        <v>791326.37279755855</v>
      </c>
      <c r="Z39" s="3">
        <f t="shared" si="9"/>
        <v>801130.2577402324</v>
      </c>
      <c r="AA39" s="3">
        <f t="shared" si="9"/>
        <v>811018.62735017948</v>
      </c>
      <c r="AB39" s="3">
        <f t="shared" si="9"/>
        <v>820990.8310591731</v>
      </c>
      <c r="AC39" s="3">
        <f t="shared" si="9"/>
        <v>831046.14941443643</v>
      </c>
      <c r="AD39" s="3">
        <f t="shared" si="9"/>
        <v>841183.79121734027</v>
      </c>
      <c r="AE39" s="3">
        <f t="shared" si="9"/>
        <v>851402.89056258276</v>
      </c>
      <c r="AF39" s="3">
        <f t="shared" si="9"/>
        <v>861702.50377460849</v>
      </c>
      <c r="AG39" s="3">
        <f t="shared" si="9"/>
        <v>872081.60623791534</v>
      </c>
    </row>
    <row r="40" spans="1:33" x14ac:dyDescent="0.2">
      <c r="A40" s="1" t="s">
        <v>35</v>
      </c>
      <c r="B40" s="1"/>
      <c r="C40" s="12">
        <f>NPV(C10/100,C39:AG39)</f>
        <v>2.8315035051831574E-8</v>
      </c>
    </row>
    <row r="41" spans="1:33" x14ac:dyDescent="0.2">
      <c r="A41" s="1" t="s">
        <v>36</v>
      </c>
      <c r="B41" s="1"/>
      <c r="C41" s="15">
        <f>IRR(C39:AG39)</f>
        <v>7.0000000000000506E-2</v>
      </c>
    </row>
    <row r="43" spans="1:33" x14ac:dyDescent="0.2">
      <c r="A43" t="s">
        <v>37</v>
      </c>
      <c r="D43" s="3">
        <f t="shared" ref="D43:AG43" si="10">D35/$C$11</f>
        <v>467338.76747805218</v>
      </c>
      <c r="E43" s="3">
        <f t="shared" si="10"/>
        <v>471914.05848499236</v>
      </c>
      <c r="F43" s="3">
        <f t="shared" si="10"/>
        <v>478115.62295641872</v>
      </c>
      <c r="G43" s="3">
        <f t="shared" si="10"/>
        <v>484383.86213346949</v>
      </c>
      <c r="H43" s="3">
        <f t="shared" si="10"/>
        <v>490718.97188250325</v>
      </c>
      <c r="I43" s="3">
        <f t="shared" si="10"/>
        <v>497121.12626309809</v>
      </c>
      <c r="J43" s="3">
        <f t="shared" si="10"/>
        <v>503590.4764366498</v>
      </c>
      <c r="K43" s="3">
        <f t="shared" si="10"/>
        <v>510127.1495349466</v>
      </c>
      <c r="L43" s="3">
        <f t="shared" si="10"/>
        <v>516731.24748738913</v>
      </c>
      <c r="M43" s="3">
        <f t="shared" si="10"/>
        <v>523402.84580547852</v>
      </c>
      <c r="N43" s="3">
        <f t="shared" si="10"/>
        <v>530141.99232315389</v>
      </c>
      <c r="O43" s="3">
        <f t="shared" si="10"/>
        <v>536948.70589151292</v>
      </c>
      <c r="P43" s="3">
        <f t="shared" si="10"/>
        <v>543822.97502640542</v>
      </c>
      <c r="Q43" s="3">
        <f t="shared" si="10"/>
        <v>550764.75650733849</v>
      </c>
      <c r="R43" s="3">
        <f t="shared" si="10"/>
        <v>557773.97392608155</v>
      </c>
      <c r="S43" s="3">
        <f t="shared" si="10"/>
        <v>564850.51618331415</v>
      </c>
      <c r="T43" s="3">
        <f t="shared" si="10"/>
        <v>571994.23593159742</v>
      </c>
      <c r="U43" s="3">
        <f t="shared" si="10"/>
        <v>579204.94796290167</v>
      </c>
      <c r="V43" s="3">
        <f t="shared" si="10"/>
        <v>586482.42753886606</v>
      </c>
      <c r="W43" s="3">
        <f t="shared" si="10"/>
        <v>593826.40866190323</v>
      </c>
      <c r="X43" s="3">
        <f t="shared" si="10"/>
        <v>601236.58228520746</v>
      </c>
      <c r="Y43" s="3">
        <f t="shared" si="10"/>
        <v>608712.59445966035</v>
      </c>
      <c r="Z43" s="3">
        <f t="shared" si="10"/>
        <v>616254.04441556334</v>
      </c>
      <c r="AA43" s="3">
        <f t="shared" si="10"/>
        <v>623860.48257706116</v>
      </c>
      <c r="AB43" s="3">
        <f t="shared" si="10"/>
        <v>631531.40850705619</v>
      </c>
      <c r="AC43" s="3">
        <f t="shared" si="10"/>
        <v>639266.26878033567</v>
      </c>
      <c r="AD43" s="3">
        <f t="shared" si="10"/>
        <v>647064.45478256943</v>
      </c>
      <c r="AE43" s="3">
        <f t="shared" si="10"/>
        <v>654925.30043275596</v>
      </c>
      <c r="AF43" s="3">
        <f t="shared" si="10"/>
        <v>662848.07982662192</v>
      </c>
      <c r="AG43" s="3">
        <f t="shared" si="10"/>
        <v>670832.00479839637</v>
      </c>
    </row>
    <row r="44" spans="1:33" x14ac:dyDescent="0.2">
      <c r="A44" t="s">
        <v>42</v>
      </c>
      <c r="C44" s="11">
        <f>NPV(C9/100,D43:AG43)</f>
        <v>8039640.7788413614</v>
      </c>
    </row>
    <row r="45" spans="1:33" x14ac:dyDescent="0.2">
      <c r="A45" t="s">
        <v>38</v>
      </c>
      <c r="C45" s="11"/>
      <c r="D45" s="11">
        <f>C44</f>
        <v>8039640.7788413614</v>
      </c>
      <c r="E45" s="11">
        <f>D48</f>
        <v>7994383.1522524804</v>
      </c>
      <c r="F45" s="11">
        <f t="shared" ref="F45:AG45" si="11">E48</f>
        <v>7942174.2092607431</v>
      </c>
      <c r="G45" s="11">
        <f t="shared" si="11"/>
        <v>7881022.7322905138</v>
      </c>
      <c r="H45" s="11">
        <f t="shared" si="11"/>
        <v>7810392.5636022966</v>
      </c>
      <c r="I45" s="11">
        <f t="shared" si="11"/>
        <v>7729719.2013089135</v>
      </c>
      <c r="J45" s="11">
        <f t="shared" si="11"/>
        <v>7638408.3331145337</v>
      </c>
      <c r="K45" s="11">
        <f t="shared" si="11"/>
        <v>7535834.2941663973</v>
      </c>
      <c r="L45" s="11">
        <f t="shared" si="11"/>
        <v>7421338.4450751869</v>
      </c>
      <c r="M45" s="11">
        <f t="shared" si="11"/>
        <v>7294227.4659542451</v>
      </c>
      <c r="N45" s="11">
        <f t="shared" si="11"/>
        <v>7153771.5621113647</v>
      </c>
      <c r="O45" s="11">
        <f t="shared" si="11"/>
        <v>6999202.5767990574</v>
      </c>
      <c r="P45" s="11">
        <f t="shared" si="11"/>
        <v>6829712.0061894953</v>
      </c>
      <c r="Q45" s="11">
        <f t="shared" si="11"/>
        <v>6644448.9114880385</v>
      </c>
      <c r="R45" s="11">
        <f t="shared" si="11"/>
        <v>6442517.7228338225</v>
      </c>
      <c r="S45" s="11">
        <f t="shared" si="11"/>
        <v>6222975.9293565163</v>
      </c>
      <c r="T45" s="11">
        <f t="shared" si="11"/>
        <v>5984831.6494644191</v>
      </c>
      <c r="U45" s="11">
        <f t="shared" si="11"/>
        <v>5727041.0751297036</v>
      </c>
      <c r="V45" s="11">
        <f t="shared" si="11"/>
        <v>5448505.7836111113</v>
      </c>
      <c r="W45" s="11">
        <f t="shared" si="11"/>
        <v>5148069.9097118285</v>
      </c>
      <c r="X45" s="11">
        <f t="shared" si="11"/>
        <v>4824517.1713097962</v>
      </c>
      <c r="Y45" s="11">
        <f t="shared" si="11"/>
        <v>4476567.7405183529</v>
      </c>
      <c r="Z45" s="11">
        <f t="shared" si="11"/>
        <v>4102874.952435906</v>
      </c>
      <c r="AA45" s="11">
        <f t="shared" si="11"/>
        <v>3702021.8430232275</v>
      </c>
      <c r="AB45" s="11">
        <f t="shared" si="11"/>
        <v>3272517.5072048856</v>
      </c>
      <c r="AC45" s="11">
        <f t="shared" si="11"/>
        <v>2812793.2678260859</v>
      </c>
      <c r="AD45" s="11">
        <f t="shared" si="11"/>
        <v>2321198.6456066198</v>
      </c>
      <c r="AE45" s="11">
        <f t="shared" si="11"/>
        <v>1795997.119718398</v>
      </c>
      <c r="AF45" s="11">
        <f t="shared" si="11"/>
        <v>1235361.6680708579</v>
      </c>
      <c r="AG45" s="11">
        <f t="shared" si="11"/>
        <v>637370.07581795601</v>
      </c>
    </row>
    <row r="46" spans="1:33" x14ac:dyDescent="0.2">
      <c r="A46" t="s">
        <v>39</v>
      </c>
      <c r="D46" s="11">
        <f>D45*$C$9/100</f>
        <v>422081.14088917151</v>
      </c>
      <c r="E46" s="11">
        <f>E45*$C$9/100</f>
        <v>419705.11549325526</v>
      </c>
      <c r="F46" s="11">
        <f t="shared" ref="F46:AG46" si="12">F45*$C$9/100</f>
        <v>416964.14598618902</v>
      </c>
      <c r="G46" s="11">
        <f t="shared" si="12"/>
        <v>413753.69344525196</v>
      </c>
      <c r="H46" s="11">
        <f t="shared" si="12"/>
        <v>410045.60958912061</v>
      </c>
      <c r="I46" s="11">
        <f t="shared" si="12"/>
        <v>405810.25806871796</v>
      </c>
      <c r="J46" s="11">
        <f t="shared" si="12"/>
        <v>401016.43748851301</v>
      </c>
      <c r="K46" s="11">
        <f t="shared" si="12"/>
        <v>395631.30044373585</v>
      </c>
      <c r="L46" s="11">
        <f t="shared" si="12"/>
        <v>389620.2683664473</v>
      </c>
      <c r="M46" s="11">
        <f t="shared" si="12"/>
        <v>382946.94196259789</v>
      </c>
      <c r="N46" s="11">
        <f t="shared" si="12"/>
        <v>375573.00701084663</v>
      </c>
      <c r="O46" s="11">
        <f t="shared" si="12"/>
        <v>367458.13528195053</v>
      </c>
      <c r="P46" s="11">
        <f t="shared" si="12"/>
        <v>358559.88032494852</v>
      </c>
      <c r="Q46" s="11">
        <f t="shared" si="12"/>
        <v>348833.56785312208</v>
      </c>
      <c r="R46" s="11">
        <f t="shared" si="12"/>
        <v>338232.18044877565</v>
      </c>
      <c r="S46" s="11">
        <f t="shared" si="12"/>
        <v>326706.23629121709</v>
      </c>
      <c r="T46" s="11">
        <f t="shared" si="12"/>
        <v>314203.66159688198</v>
      </c>
      <c r="U46" s="11">
        <f t="shared" si="12"/>
        <v>300669.65644430945</v>
      </c>
      <c r="V46" s="11">
        <f t="shared" si="12"/>
        <v>286046.55363958335</v>
      </c>
      <c r="W46" s="11">
        <f t="shared" si="12"/>
        <v>270273.670259871</v>
      </c>
      <c r="X46" s="11">
        <f t="shared" si="12"/>
        <v>253287.15149376431</v>
      </c>
      <c r="Y46" s="11">
        <f t="shared" si="12"/>
        <v>235019.80637721354</v>
      </c>
      <c r="Z46" s="11">
        <f t="shared" si="12"/>
        <v>215400.93500288506</v>
      </c>
      <c r="AA46" s="11">
        <f t="shared" si="12"/>
        <v>194356.14675871946</v>
      </c>
      <c r="AB46" s="11">
        <f t="shared" si="12"/>
        <v>171807.16912825647</v>
      </c>
      <c r="AC46" s="11">
        <f t="shared" si="12"/>
        <v>147671.64656086953</v>
      </c>
      <c r="AD46" s="11">
        <f t="shared" si="12"/>
        <v>121862.92889434753</v>
      </c>
      <c r="AE46" s="11">
        <f t="shared" si="12"/>
        <v>94289.848785215901</v>
      </c>
      <c r="AF46" s="11">
        <f t="shared" si="12"/>
        <v>64856.487573720042</v>
      </c>
      <c r="AG46" s="11">
        <f t="shared" si="12"/>
        <v>33461.928980442688</v>
      </c>
    </row>
    <row r="47" spans="1:33" s="3" customFormat="1" x14ac:dyDescent="0.2">
      <c r="A47" s="3" t="s">
        <v>40</v>
      </c>
      <c r="D47" s="3">
        <f>IF(D45&lt;1,0,D43-D46)</f>
        <v>45257.626588880667</v>
      </c>
      <c r="E47" s="3">
        <f>IF(E45&lt;1,0,E43-E46)</f>
        <v>52208.942991737102</v>
      </c>
      <c r="F47" s="3">
        <f t="shared" ref="F47:AG47" si="13">IF(F45&lt;1,0,F43-F46)</f>
        <v>61151.476970229705</v>
      </c>
      <c r="G47" s="3">
        <f t="shared" si="13"/>
        <v>70630.168688217527</v>
      </c>
      <c r="H47" s="3">
        <f t="shared" si="13"/>
        <v>80673.362293382641</v>
      </c>
      <c r="I47" s="3">
        <f t="shared" si="13"/>
        <v>91310.868194380135</v>
      </c>
      <c r="J47" s="3">
        <f t="shared" si="13"/>
        <v>102574.03894813679</v>
      </c>
      <c r="K47" s="3">
        <f t="shared" si="13"/>
        <v>114495.84909121075</v>
      </c>
      <c r="L47" s="3">
        <f t="shared" si="13"/>
        <v>127110.97912094183</v>
      </c>
      <c r="M47" s="3">
        <f t="shared" si="13"/>
        <v>140455.90384288062</v>
      </c>
      <c r="N47" s="3">
        <f t="shared" si="13"/>
        <v>154568.98531230725</v>
      </c>
      <c r="O47" s="3">
        <f t="shared" si="13"/>
        <v>169490.57060956239</v>
      </c>
      <c r="P47" s="3">
        <f t="shared" si="13"/>
        <v>185263.0947014569</v>
      </c>
      <c r="Q47" s="3">
        <f t="shared" si="13"/>
        <v>201931.18865421641</v>
      </c>
      <c r="R47" s="3">
        <f t="shared" si="13"/>
        <v>219541.79347730591</v>
      </c>
      <c r="S47" s="3">
        <f t="shared" si="13"/>
        <v>238144.27989209705</v>
      </c>
      <c r="T47" s="3">
        <f t="shared" si="13"/>
        <v>257790.57433471543</v>
      </c>
      <c r="U47" s="3">
        <f t="shared" si="13"/>
        <v>278535.29151859222</v>
      </c>
      <c r="V47" s="3">
        <f t="shared" si="13"/>
        <v>300435.87389928271</v>
      </c>
      <c r="W47" s="3">
        <f t="shared" si="13"/>
        <v>323552.73840203224</v>
      </c>
      <c r="X47" s="3">
        <f t="shared" si="13"/>
        <v>347949.43079144316</v>
      </c>
      <c r="Y47" s="3">
        <f t="shared" si="13"/>
        <v>373692.78808244679</v>
      </c>
      <c r="Z47" s="3">
        <f t="shared" si="13"/>
        <v>400853.10941267828</v>
      </c>
      <c r="AA47" s="3">
        <f t="shared" si="13"/>
        <v>429504.3358183417</v>
      </c>
      <c r="AB47" s="3">
        <f t="shared" si="13"/>
        <v>459724.23937879968</v>
      </c>
      <c r="AC47" s="3">
        <f t="shared" si="13"/>
        <v>491594.62221946614</v>
      </c>
      <c r="AD47" s="3">
        <f t="shared" si="13"/>
        <v>525201.52588822192</v>
      </c>
      <c r="AE47" s="3">
        <f t="shared" si="13"/>
        <v>560635.45164754009</v>
      </c>
      <c r="AF47" s="3">
        <f t="shared" si="13"/>
        <v>597991.59225290187</v>
      </c>
      <c r="AG47" s="3">
        <f t="shared" si="13"/>
        <v>637370.07581795368</v>
      </c>
    </row>
    <row r="48" spans="1:33" x14ac:dyDescent="0.2">
      <c r="A48" t="s">
        <v>41</v>
      </c>
      <c r="D48" s="11">
        <f>D45-D47</f>
        <v>7994383.1522524804</v>
      </c>
      <c r="E48" s="11">
        <f>E45-E47</f>
        <v>7942174.2092607431</v>
      </c>
      <c r="F48" s="11">
        <f t="shared" ref="F48:AG48" si="14">F45-F47</f>
        <v>7881022.7322905138</v>
      </c>
      <c r="G48" s="11">
        <f t="shared" si="14"/>
        <v>7810392.5636022966</v>
      </c>
      <c r="H48" s="11">
        <f t="shared" si="14"/>
        <v>7729719.2013089135</v>
      </c>
      <c r="I48" s="11">
        <f t="shared" si="14"/>
        <v>7638408.3331145337</v>
      </c>
      <c r="J48" s="11">
        <f t="shared" si="14"/>
        <v>7535834.2941663973</v>
      </c>
      <c r="K48" s="11">
        <f t="shared" si="14"/>
        <v>7421338.4450751869</v>
      </c>
      <c r="L48" s="11">
        <f t="shared" si="14"/>
        <v>7294227.4659542451</v>
      </c>
      <c r="M48" s="11">
        <f t="shared" si="14"/>
        <v>7153771.5621113647</v>
      </c>
      <c r="N48" s="11">
        <f t="shared" si="14"/>
        <v>6999202.5767990574</v>
      </c>
      <c r="O48" s="11">
        <f t="shared" si="14"/>
        <v>6829712.0061894953</v>
      </c>
      <c r="P48" s="11">
        <f t="shared" si="14"/>
        <v>6644448.9114880385</v>
      </c>
      <c r="Q48" s="11">
        <f t="shared" si="14"/>
        <v>6442517.7228338225</v>
      </c>
      <c r="R48" s="11">
        <f t="shared" si="14"/>
        <v>6222975.9293565163</v>
      </c>
      <c r="S48" s="11">
        <f t="shared" si="14"/>
        <v>5984831.6494644191</v>
      </c>
      <c r="T48" s="11">
        <f t="shared" si="14"/>
        <v>5727041.0751297036</v>
      </c>
      <c r="U48" s="11">
        <f t="shared" si="14"/>
        <v>5448505.7836111113</v>
      </c>
      <c r="V48" s="11">
        <f t="shared" si="14"/>
        <v>5148069.9097118285</v>
      </c>
      <c r="W48" s="11">
        <f t="shared" si="14"/>
        <v>4824517.1713097962</v>
      </c>
      <c r="X48" s="11">
        <f t="shared" si="14"/>
        <v>4476567.7405183529</v>
      </c>
      <c r="Y48" s="11">
        <f t="shared" si="14"/>
        <v>4102874.952435906</v>
      </c>
      <c r="Z48" s="11">
        <f t="shared" si="14"/>
        <v>3702021.8430232275</v>
      </c>
      <c r="AA48" s="11">
        <f t="shared" si="14"/>
        <v>3272517.5072048856</v>
      </c>
      <c r="AB48" s="11">
        <f t="shared" si="14"/>
        <v>2812793.2678260859</v>
      </c>
      <c r="AC48" s="11">
        <f t="shared" si="14"/>
        <v>2321198.6456066198</v>
      </c>
      <c r="AD48" s="11">
        <f t="shared" si="14"/>
        <v>1795997.119718398</v>
      </c>
      <c r="AE48" s="11">
        <f t="shared" si="14"/>
        <v>1235361.6680708579</v>
      </c>
      <c r="AF48" s="11">
        <f t="shared" si="14"/>
        <v>637370.07581795601</v>
      </c>
      <c r="AG48" s="11">
        <f t="shared" si="14"/>
        <v>2.3283064365386963E-9</v>
      </c>
    </row>
    <row r="50" spans="1:33" x14ac:dyDescent="0.2">
      <c r="A50" t="s">
        <v>43</v>
      </c>
      <c r="C50" s="3">
        <f>-(C37+C44)</f>
        <v>520359.2211586386</v>
      </c>
    </row>
    <row r="51" spans="1:33" x14ac:dyDescent="0.2">
      <c r="A51" t="s">
        <v>44</v>
      </c>
      <c r="C51" s="3">
        <f>-C50</f>
        <v>-520359.2211586386</v>
      </c>
      <c r="D51" s="3">
        <f>D39-D46-D47</f>
        <v>140201.63024341571</v>
      </c>
      <c r="E51" s="3">
        <f t="shared" ref="E51:AG51" si="15">E39-E46-E47</f>
        <v>141574.2175454977</v>
      </c>
      <c r="F51" s="3">
        <f t="shared" si="15"/>
        <v>143434.68688692566</v>
      </c>
      <c r="G51" s="3">
        <f t="shared" si="15"/>
        <v>145315.15864004084</v>
      </c>
      <c r="H51" s="3">
        <f t="shared" si="15"/>
        <v>147215.69156475097</v>
      </c>
      <c r="I51" s="3">
        <f t="shared" si="15"/>
        <v>149136.33787892945</v>
      </c>
      <c r="J51" s="3">
        <f t="shared" si="15"/>
        <v>151077.14293099497</v>
      </c>
      <c r="K51" s="3">
        <f t="shared" si="15"/>
        <v>153038.144860484</v>
      </c>
      <c r="L51" s="3">
        <f t="shared" si="15"/>
        <v>155019.37424621673</v>
      </c>
      <c r="M51" s="3">
        <f t="shared" si="15"/>
        <v>157020.8537416436</v>
      </c>
      <c r="N51" s="3">
        <f t="shared" si="15"/>
        <v>159042.59769694612</v>
      </c>
      <c r="O51" s="3">
        <f t="shared" si="15"/>
        <v>161084.61176745384</v>
      </c>
      <c r="P51" s="3">
        <f t="shared" si="15"/>
        <v>163146.89250792167</v>
      </c>
      <c r="Q51" s="3">
        <f t="shared" si="15"/>
        <v>165229.42695220152</v>
      </c>
      <c r="R51" s="3">
        <f t="shared" si="15"/>
        <v>167332.19217782444</v>
      </c>
      <c r="S51" s="3">
        <f t="shared" si="15"/>
        <v>169455.15485499427</v>
      </c>
      <c r="T51" s="3">
        <f t="shared" si="15"/>
        <v>171598.27077947918</v>
      </c>
      <c r="U51" s="3">
        <f t="shared" si="15"/>
        <v>173761.48438887054</v>
      </c>
      <c r="V51" s="3">
        <f t="shared" si="15"/>
        <v>175944.72826165985</v>
      </c>
      <c r="W51" s="3">
        <f t="shared" si="15"/>
        <v>178147.92259857093</v>
      </c>
      <c r="X51" s="3">
        <f t="shared" si="15"/>
        <v>180370.97468556213</v>
      </c>
      <c r="Y51" s="3">
        <f t="shared" si="15"/>
        <v>182613.7783378982</v>
      </c>
      <c r="Z51" s="3">
        <f t="shared" si="15"/>
        <v>184876.21332466905</v>
      </c>
      <c r="AA51" s="3">
        <f t="shared" si="15"/>
        <v>187158.14477311831</v>
      </c>
      <c r="AB51" s="3">
        <f t="shared" si="15"/>
        <v>189459.42255211691</v>
      </c>
      <c r="AC51" s="3">
        <f t="shared" si="15"/>
        <v>191779.88063410076</v>
      </c>
      <c r="AD51" s="3">
        <f t="shared" si="15"/>
        <v>194119.33643477084</v>
      </c>
      <c r="AE51" s="3">
        <f t="shared" si="15"/>
        <v>196477.5901298268</v>
      </c>
      <c r="AF51" s="3">
        <f t="shared" si="15"/>
        <v>198854.42394798656</v>
      </c>
      <c r="AG51" s="3">
        <f t="shared" si="15"/>
        <v>201249.60143951897</v>
      </c>
    </row>
    <row r="52" spans="1:33" x14ac:dyDescent="0.2">
      <c r="A52" s="1" t="s">
        <v>46</v>
      </c>
      <c r="B52" s="1"/>
      <c r="C52" s="12">
        <f>NPV(C9/100,C51:AG51)</f>
        <v>1797181.0094952686</v>
      </c>
    </row>
    <row r="53" spans="1:33" x14ac:dyDescent="0.2">
      <c r="A53" s="1" t="s">
        <v>47</v>
      </c>
      <c r="B53" s="1"/>
      <c r="C53" s="15">
        <f>IRR(C51:AG51)</f>
        <v>0.2815411185413268</v>
      </c>
    </row>
    <row r="55" spans="1:33" x14ac:dyDescent="0.2">
      <c r="A55" t="s">
        <v>48</v>
      </c>
      <c r="C55" s="11">
        <f>C44</f>
        <v>8039640.7788413614</v>
      </c>
    </row>
    <row r="56" spans="1:33" x14ac:dyDescent="0.2">
      <c r="A56" t="s">
        <v>49</v>
      </c>
      <c r="C56" s="3">
        <f>C50</f>
        <v>520359.2211586386</v>
      </c>
    </row>
    <row r="57" spans="1:33" x14ac:dyDescent="0.2">
      <c r="A57" s="1" t="s">
        <v>50</v>
      </c>
      <c r="B57" s="1"/>
      <c r="C57" s="13">
        <f>C55/C56</f>
        <v>15.450174517788295</v>
      </c>
    </row>
    <row r="59" spans="1:33" x14ac:dyDescent="0.2">
      <c r="A59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F8ED-FD2E-43A7-AC4E-AEEE6A4C7E88}">
  <dimension ref="A1:AG59"/>
  <sheetViews>
    <sheetView zoomScale="103" zoomScaleNormal="110" workbookViewId="0">
      <selection activeCell="D38" sqref="D38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(5*1000000*I4)</f>
        <v>9200000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9200000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5*1000000*K4</f>
        <v>100000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27">
        <v>7918.18</v>
      </c>
      <c r="D13" t="s">
        <v>54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7126.3620000000001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28">
        <v>106.49089517331339</v>
      </c>
      <c r="D19" t="s">
        <v>19</v>
      </c>
      <c r="E19" s="28"/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7126.3620000000001</v>
      </c>
      <c r="E26" s="8">
        <f>D26*(1-C15/100)</f>
        <v>7069.3511040000003</v>
      </c>
      <c r="F26" s="8">
        <f>E26*(1-$C$16/100)</f>
        <v>7034.0043484799999</v>
      </c>
      <c r="G26" s="8">
        <f t="shared" ref="G26:AG26" si="2">F26*(1-$C$16/100)</f>
        <v>6998.8343267375994</v>
      </c>
      <c r="H26" s="8">
        <f t="shared" si="2"/>
        <v>6963.8401551039115</v>
      </c>
      <c r="I26" s="8">
        <f t="shared" si="2"/>
        <v>6929.0209543283918</v>
      </c>
      <c r="J26" s="8">
        <f t="shared" si="2"/>
        <v>6894.3758495567499</v>
      </c>
      <c r="K26" s="8">
        <f t="shared" si="2"/>
        <v>6859.9039703089666</v>
      </c>
      <c r="L26" s="8">
        <f t="shared" si="2"/>
        <v>6825.604450457422</v>
      </c>
      <c r="M26" s="8">
        <f t="shared" si="2"/>
        <v>6791.4764282051347</v>
      </c>
      <c r="N26" s="8">
        <f t="shared" si="2"/>
        <v>6757.5190460641088</v>
      </c>
      <c r="O26" s="8">
        <f t="shared" si="2"/>
        <v>6723.7314508337886</v>
      </c>
      <c r="P26" s="8">
        <f t="shared" si="2"/>
        <v>6690.1127935796194</v>
      </c>
      <c r="Q26" s="8">
        <f t="shared" si="2"/>
        <v>6656.6622296117212</v>
      </c>
      <c r="R26" s="8">
        <f t="shared" si="2"/>
        <v>6623.3789184636626</v>
      </c>
      <c r="S26" s="8">
        <f t="shared" si="2"/>
        <v>6590.2620238713444</v>
      </c>
      <c r="T26" s="8">
        <f t="shared" si="2"/>
        <v>6557.3107137519874</v>
      </c>
      <c r="U26" s="8">
        <f t="shared" si="2"/>
        <v>6524.5241601832277</v>
      </c>
      <c r="V26" s="8">
        <f t="shared" si="2"/>
        <v>6491.9015393823111</v>
      </c>
      <c r="W26" s="8">
        <f t="shared" si="2"/>
        <v>6459.4420316853993</v>
      </c>
      <c r="X26" s="8">
        <f t="shared" si="2"/>
        <v>6427.144821526972</v>
      </c>
      <c r="Y26" s="8">
        <f t="shared" si="2"/>
        <v>6395.0090974193372</v>
      </c>
      <c r="Z26" s="8">
        <f t="shared" si="2"/>
        <v>6363.0340519322408</v>
      </c>
      <c r="AA26" s="8">
        <f t="shared" si="2"/>
        <v>6331.2188816725793</v>
      </c>
      <c r="AB26" s="8">
        <f t="shared" si="2"/>
        <v>6299.5627872642162</v>
      </c>
      <c r="AC26" s="8">
        <f t="shared" si="2"/>
        <v>6268.0649733278951</v>
      </c>
      <c r="AD26" s="8">
        <f t="shared" si="2"/>
        <v>6236.724648461256</v>
      </c>
      <c r="AE26" s="8">
        <f t="shared" si="2"/>
        <v>6205.5410252189495</v>
      </c>
      <c r="AF26" s="8">
        <f t="shared" si="2"/>
        <v>6174.5133200928549</v>
      </c>
      <c r="AG26" s="8">
        <f t="shared" si="2"/>
        <v>6143.640753492391</v>
      </c>
    </row>
    <row r="27" spans="1:33" s="8" customFormat="1" x14ac:dyDescent="0.2">
      <c r="A27" s="8" t="s">
        <v>27</v>
      </c>
      <c r="D27" s="8">
        <f>(1-$C$17/100)*D26</f>
        <v>7126.3620000000001</v>
      </c>
      <c r="E27" s="8">
        <f t="shared" ref="E27:AG27" si="3">(1-$C$17/100)*E26</f>
        <v>7069.3511040000003</v>
      </c>
      <c r="F27" s="8">
        <f t="shared" si="3"/>
        <v>7034.0043484799999</v>
      </c>
      <c r="G27" s="8">
        <f t="shared" si="3"/>
        <v>6998.8343267375994</v>
      </c>
      <c r="H27" s="8">
        <f t="shared" si="3"/>
        <v>6963.8401551039115</v>
      </c>
      <c r="I27" s="8">
        <f t="shared" si="3"/>
        <v>6929.0209543283918</v>
      </c>
      <c r="J27" s="8">
        <f t="shared" si="3"/>
        <v>6894.3758495567499</v>
      </c>
      <c r="K27" s="8">
        <f t="shared" si="3"/>
        <v>6859.9039703089666</v>
      </c>
      <c r="L27" s="8">
        <f t="shared" si="3"/>
        <v>6825.604450457422</v>
      </c>
      <c r="M27" s="8">
        <f t="shared" si="3"/>
        <v>6791.4764282051347</v>
      </c>
      <c r="N27" s="8">
        <f t="shared" si="3"/>
        <v>6757.5190460641088</v>
      </c>
      <c r="O27" s="8">
        <f t="shared" si="3"/>
        <v>6723.7314508337886</v>
      </c>
      <c r="P27" s="8">
        <f t="shared" si="3"/>
        <v>6690.1127935796194</v>
      </c>
      <c r="Q27" s="8">
        <f t="shared" si="3"/>
        <v>6656.6622296117212</v>
      </c>
      <c r="R27" s="8">
        <f t="shared" si="3"/>
        <v>6623.3789184636626</v>
      </c>
      <c r="S27" s="8">
        <f t="shared" si="3"/>
        <v>6590.2620238713444</v>
      </c>
      <c r="T27" s="8">
        <f t="shared" si="3"/>
        <v>6557.3107137519874</v>
      </c>
      <c r="U27" s="8">
        <f t="shared" si="3"/>
        <v>6524.5241601832277</v>
      </c>
      <c r="V27" s="8">
        <f t="shared" si="3"/>
        <v>6491.9015393823111</v>
      </c>
      <c r="W27" s="8">
        <f t="shared" si="3"/>
        <v>6459.4420316853993</v>
      </c>
      <c r="X27" s="8">
        <f t="shared" si="3"/>
        <v>6427.144821526972</v>
      </c>
      <c r="Y27" s="8">
        <f t="shared" si="3"/>
        <v>6395.0090974193372</v>
      </c>
      <c r="Z27" s="8">
        <f t="shared" si="3"/>
        <v>6363.0340519322408</v>
      </c>
      <c r="AA27" s="8">
        <f t="shared" si="3"/>
        <v>6331.2188816725793</v>
      </c>
      <c r="AB27" s="8">
        <f t="shared" si="3"/>
        <v>6299.5627872642162</v>
      </c>
      <c r="AC27" s="8">
        <f t="shared" si="3"/>
        <v>6268.0649733278951</v>
      </c>
      <c r="AD27" s="8">
        <f t="shared" si="3"/>
        <v>6236.724648461256</v>
      </c>
      <c r="AE27" s="8">
        <f t="shared" si="3"/>
        <v>6205.5410252189495</v>
      </c>
      <c r="AF27" s="8">
        <f t="shared" si="3"/>
        <v>6174.5133200928549</v>
      </c>
      <c r="AG27" s="8">
        <f t="shared" si="3"/>
        <v>6143.640753492391</v>
      </c>
    </row>
    <row r="29" spans="1:33" x14ac:dyDescent="0.2">
      <c r="A29" t="s">
        <v>28</v>
      </c>
      <c r="D29" s="3">
        <f>C19</f>
        <v>106.49089517331339</v>
      </c>
      <c r="E29" s="3">
        <f>D29*(1+$C$20/100)</f>
        <v>108.62071307677967</v>
      </c>
      <c r="F29" s="3">
        <f t="shared" ref="F29:AG29" si="4">E29*(1+$C$20/100)</f>
        <v>110.79312733831526</v>
      </c>
      <c r="G29" s="3">
        <f t="shared" si="4"/>
        <v>113.00898988508156</v>
      </c>
      <c r="H29" s="3">
        <f t="shared" si="4"/>
        <v>115.2691696827832</v>
      </c>
      <c r="I29" s="3">
        <f t="shared" si="4"/>
        <v>117.57455307643886</v>
      </c>
      <c r="J29" s="3">
        <f t="shared" si="4"/>
        <v>119.92604413796764</v>
      </c>
      <c r="K29" s="3">
        <f t="shared" si="4"/>
        <v>122.32456502072699</v>
      </c>
      <c r="L29" s="3">
        <f t="shared" si="4"/>
        <v>124.77105632114153</v>
      </c>
      <c r="M29" s="3">
        <f t="shared" si="4"/>
        <v>127.26647744756436</v>
      </c>
      <c r="N29" s="3">
        <f t="shared" si="4"/>
        <v>129.81180699651566</v>
      </c>
      <c r="O29" s="3">
        <f t="shared" si="4"/>
        <v>132.40804313644597</v>
      </c>
      <c r="P29" s="3">
        <f t="shared" si="4"/>
        <v>135.0562039991749</v>
      </c>
      <c r="Q29" s="3">
        <f t="shared" si="4"/>
        <v>137.75732807915838</v>
      </c>
      <c r="R29" s="3">
        <f t="shared" si="4"/>
        <v>140.51247464074154</v>
      </c>
      <c r="S29" s="3">
        <f t="shared" si="4"/>
        <v>143.32272413355639</v>
      </c>
      <c r="T29" s="3">
        <f t="shared" si="4"/>
        <v>146.18917861622751</v>
      </c>
      <c r="U29" s="3">
        <f t="shared" si="4"/>
        <v>149.11296218855207</v>
      </c>
      <c r="V29" s="3">
        <f t="shared" si="4"/>
        <v>152.09522143232311</v>
      </c>
      <c r="W29" s="3">
        <f t="shared" si="4"/>
        <v>155.13712586096958</v>
      </c>
      <c r="X29" s="3">
        <f t="shared" si="4"/>
        <v>158.23986837818896</v>
      </c>
      <c r="Y29" s="3">
        <f t="shared" si="4"/>
        <v>161.40466574575274</v>
      </c>
      <c r="Z29" s="3">
        <f t="shared" si="4"/>
        <v>164.63275906066781</v>
      </c>
      <c r="AA29" s="3">
        <f t="shared" si="4"/>
        <v>167.92541424188116</v>
      </c>
      <c r="AB29" s="3">
        <f t="shared" si="4"/>
        <v>171.28392252671878</v>
      </c>
      <c r="AC29" s="3">
        <f t="shared" si="4"/>
        <v>174.70960097725316</v>
      </c>
      <c r="AD29" s="3">
        <f t="shared" si="4"/>
        <v>178.20379299679823</v>
      </c>
      <c r="AE29" s="3">
        <f t="shared" si="4"/>
        <v>181.7678688567342</v>
      </c>
      <c r="AF29" s="3">
        <f t="shared" si="4"/>
        <v>185.40322623386888</v>
      </c>
      <c r="AG29" s="3">
        <f t="shared" si="4"/>
        <v>189.11129075854626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758892.66870908393</v>
      </c>
      <c r="E33" s="3">
        <f t="shared" ref="E33:AG33" si="6">E29*E27</f>
        <v>767877.95790659962</v>
      </c>
      <c r="F33" s="3">
        <f t="shared" si="6"/>
        <v>779319.33947940788</v>
      </c>
      <c r="G33" s="3">
        <f t="shared" si="6"/>
        <v>790931.197637651</v>
      </c>
      <c r="H33" s="3">
        <f t="shared" si="6"/>
        <v>802716.07248245203</v>
      </c>
      <c r="I33" s="3">
        <f t="shared" si="6"/>
        <v>814676.54196244059</v>
      </c>
      <c r="J33" s="3">
        <f t="shared" si="6"/>
        <v>826815.22243768093</v>
      </c>
      <c r="K33" s="3">
        <f t="shared" si="6"/>
        <v>839134.76925200247</v>
      </c>
      <c r="L33" s="3">
        <f t="shared" si="6"/>
        <v>851637.87731385732</v>
      </c>
      <c r="M33" s="3">
        <f t="shared" si="6"/>
        <v>864327.2816858337</v>
      </c>
      <c r="N33" s="3">
        <f t="shared" si="6"/>
        <v>877205.75818295265</v>
      </c>
      <c r="O33" s="3">
        <f t="shared" si="6"/>
        <v>890276.12397987873</v>
      </c>
      <c r="P33" s="3">
        <f t="shared" si="6"/>
        <v>903541.23822717892</v>
      </c>
      <c r="Q33" s="3">
        <f t="shared" si="6"/>
        <v>917004.0026767638</v>
      </c>
      <c r="R33" s="3">
        <f t="shared" si="6"/>
        <v>930667.36231664754</v>
      </c>
      <c r="S33" s="3">
        <f t="shared" si="6"/>
        <v>944534.30601516576</v>
      </c>
      <c r="T33" s="3">
        <f t="shared" si="6"/>
        <v>958607.86717479152</v>
      </c>
      <c r="U33" s="3">
        <f t="shared" si="6"/>
        <v>972891.1243956961</v>
      </c>
      <c r="V33" s="3">
        <f t="shared" si="6"/>
        <v>987387.20214919187</v>
      </c>
      <c r="W33" s="3">
        <f t="shared" si="6"/>
        <v>1002099.2714612149</v>
      </c>
      <c r="X33" s="3">
        <f t="shared" si="6"/>
        <v>1017030.5506059868</v>
      </c>
      <c r="Y33" s="3">
        <f t="shared" si="6"/>
        <v>1032184.305810016</v>
      </c>
      <c r="Z33" s="3">
        <f t="shared" si="6"/>
        <v>1047563.8519665854</v>
      </c>
      <c r="AA33" s="3">
        <f t="shared" si="6"/>
        <v>1063172.5533608873</v>
      </c>
      <c r="AB33" s="3">
        <f t="shared" si="6"/>
        <v>1079013.8244059647</v>
      </c>
      <c r="AC33" s="3">
        <f t="shared" si="6"/>
        <v>1095091.1303896136</v>
      </c>
      <c r="AD33" s="3">
        <f t="shared" si="6"/>
        <v>1111407.9882324189</v>
      </c>
      <c r="AE33" s="3">
        <f t="shared" si="6"/>
        <v>1127967.967257082</v>
      </c>
      <c r="AF33" s="3">
        <f t="shared" si="6"/>
        <v>1144774.6899692125</v>
      </c>
      <c r="AG33" s="3">
        <f t="shared" si="6"/>
        <v>1161831.8328497538</v>
      </c>
    </row>
    <row r="34" spans="1:33" x14ac:dyDescent="0.2">
      <c r="A34" t="s">
        <v>32</v>
      </c>
      <c r="D34" s="3">
        <f>-C6</f>
        <v>-100000</v>
      </c>
      <c r="E34" s="3">
        <f>$D$34*E24</f>
        <v>-103099.99999999999</v>
      </c>
      <c r="F34" s="3">
        <f t="shared" ref="F34:AG34" si="7">$D$34*F24</f>
        <v>-106296.09999999998</v>
      </c>
      <c r="G34" s="3">
        <f t="shared" si="7"/>
        <v>-109591.27909999997</v>
      </c>
      <c r="H34" s="3">
        <f t="shared" si="7"/>
        <v>-112988.60875209997</v>
      </c>
      <c r="I34" s="3">
        <f t="shared" si="7"/>
        <v>-116491.25562341507</v>
      </c>
      <c r="J34" s="3">
        <f t="shared" si="7"/>
        <v>-120102.48454774093</v>
      </c>
      <c r="K34" s="3">
        <f t="shared" si="7"/>
        <v>-123825.66156872088</v>
      </c>
      <c r="L34" s="3">
        <f t="shared" si="7"/>
        <v>-127664.25707735123</v>
      </c>
      <c r="M34" s="3">
        <f t="shared" si="7"/>
        <v>-131621.84904674909</v>
      </c>
      <c r="N34" s="3">
        <f t="shared" si="7"/>
        <v>-135702.1263671983</v>
      </c>
      <c r="O34" s="3">
        <f t="shared" si="7"/>
        <v>-139908.89228458147</v>
      </c>
      <c r="P34" s="3">
        <f t="shared" si="7"/>
        <v>-144246.06794540348</v>
      </c>
      <c r="Q34" s="3">
        <f t="shared" si="7"/>
        <v>-148717.69605171098</v>
      </c>
      <c r="R34" s="3">
        <f t="shared" si="7"/>
        <v>-153327.94462931401</v>
      </c>
      <c r="S34" s="3">
        <f t="shared" si="7"/>
        <v>-158081.11091282274</v>
      </c>
      <c r="T34" s="3">
        <f t="shared" si="7"/>
        <v>-162981.62535112025</v>
      </c>
      <c r="U34" s="3">
        <f t="shared" si="7"/>
        <v>-168034.05573700496</v>
      </c>
      <c r="V34" s="3">
        <f t="shared" si="7"/>
        <v>-173243.11146485209</v>
      </c>
      <c r="W34" s="3">
        <f t="shared" si="7"/>
        <v>-178613.64792026248</v>
      </c>
      <c r="X34" s="3">
        <f t="shared" si="7"/>
        <v>-184150.67100579065</v>
      </c>
      <c r="Y34" s="3">
        <f t="shared" si="7"/>
        <v>-189859.34180697013</v>
      </c>
      <c r="Z34" s="3">
        <f t="shared" si="7"/>
        <v>-195744.98140298619</v>
      </c>
      <c r="AA34" s="3">
        <f t="shared" si="7"/>
        <v>-201813.07582647877</v>
      </c>
      <c r="AB34" s="3">
        <f t="shared" si="7"/>
        <v>-208069.28117709956</v>
      </c>
      <c r="AC34" s="3">
        <f t="shared" si="7"/>
        <v>-214519.42889358965</v>
      </c>
      <c r="AD34" s="3">
        <f t="shared" si="7"/>
        <v>-221169.53118929089</v>
      </c>
      <c r="AE34" s="3">
        <f t="shared" si="7"/>
        <v>-228025.78665615895</v>
      </c>
      <c r="AF34" s="3">
        <f t="shared" si="7"/>
        <v>-235094.58604249987</v>
      </c>
      <c r="AG34" s="3">
        <f t="shared" si="7"/>
        <v>-242382.51820981732</v>
      </c>
    </row>
    <row r="35" spans="1:33" x14ac:dyDescent="0.2">
      <c r="A35" t="s">
        <v>33</v>
      </c>
      <c r="D35" s="3">
        <f>D33+D34</f>
        <v>658892.66870908393</v>
      </c>
      <c r="E35" s="3">
        <f t="shared" ref="E35:AG35" si="8">E33+E34</f>
        <v>664777.95790659962</v>
      </c>
      <c r="F35" s="3">
        <f t="shared" si="8"/>
        <v>673023.2394794079</v>
      </c>
      <c r="G35" s="3">
        <f t="shared" si="8"/>
        <v>681339.91853765107</v>
      </c>
      <c r="H35" s="3">
        <f t="shared" si="8"/>
        <v>689727.463730352</v>
      </c>
      <c r="I35" s="3">
        <f t="shared" si="8"/>
        <v>698185.28633902548</v>
      </c>
      <c r="J35" s="3">
        <f t="shared" si="8"/>
        <v>706712.73788994004</v>
      </c>
      <c r="K35" s="3">
        <f t="shared" si="8"/>
        <v>715309.10768328165</v>
      </c>
      <c r="L35" s="3">
        <f t="shared" si="8"/>
        <v>723973.6202365061</v>
      </c>
      <c r="M35" s="3">
        <f t="shared" si="8"/>
        <v>732705.43263908464</v>
      </c>
      <c r="N35" s="3">
        <f t="shared" si="8"/>
        <v>741503.63181575434</v>
      </c>
      <c r="O35" s="3">
        <f t="shared" si="8"/>
        <v>750367.23169529729</v>
      </c>
      <c r="P35" s="3">
        <f t="shared" si="8"/>
        <v>759295.17028177541</v>
      </c>
      <c r="Q35" s="3">
        <f t="shared" si="8"/>
        <v>768286.30662505282</v>
      </c>
      <c r="R35" s="3">
        <f t="shared" si="8"/>
        <v>777339.41768733354</v>
      </c>
      <c r="S35" s="3">
        <f t="shared" si="8"/>
        <v>786453.19510234299</v>
      </c>
      <c r="T35" s="3">
        <f t="shared" si="8"/>
        <v>795626.24182367127</v>
      </c>
      <c r="U35" s="3">
        <f t="shared" si="8"/>
        <v>804857.06865869113</v>
      </c>
      <c r="V35" s="3">
        <f t="shared" si="8"/>
        <v>814144.09068433975</v>
      </c>
      <c r="W35" s="3">
        <f t="shared" si="8"/>
        <v>823485.62354095234</v>
      </c>
      <c r="X35" s="3">
        <f t="shared" si="8"/>
        <v>832879.87960019615</v>
      </c>
      <c r="Y35" s="3">
        <f t="shared" si="8"/>
        <v>842324.96400304581</v>
      </c>
      <c r="Z35" s="3">
        <f t="shared" si="8"/>
        <v>851818.87056359916</v>
      </c>
      <c r="AA35" s="3">
        <f t="shared" si="8"/>
        <v>861359.47753440856</v>
      </c>
      <c r="AB35" s="3">
        <f t="shared" si="8"/>
        <v>870944.54322886514</v>
      </c>
      <c r="AC35" s="3">
        <f t="shared" si="8"/>
        <v>880571.70149602392</v>
      </c>
      <c r="AD35" s="3">
        <f t="shared" si="8"/>
        <v>890238.45704312797</v>
      </c>
      <c r="AE35" s="3">
        <f t="shared" si="8"/>
        <v>899942.18060092302</v>
      </c>
      <c r="AF35" s="3">
        <f t="shared" si="8"/>
        <v>909680.10392671265</v>
      </c>
      <c r="AG35" s="3">
        <f t="shared" si="8"/>
        <v>919449.31463993643</v>
      </c>
    </row>
    <row r="37" spans="1:33" x14ac:dyDescent="0.2">
      <c r="A37" t="s">
        <v>34</v>
      </c>
      <c r="C37" s="3">
        <f>-C5</f>
        <v>-9200000</v>
      </c>
    </row>
    <row r="39" spans="1:33" x14ac:dyDescent="0.2">
      <c r="A39" t="s">
        <v>45</v>
      </c>
      <c r="C39" s="3">
        <f>C37+C35</f>
        <v>-9200000</v>
      </c>
      <c r="D39" s="3">
        <f t="shared" ref="D39:AG39" si="9">D37+D35</f>
        <v>658892.66870908393</v>
      </c>
      <c r="E39" s="3">
        <f t="shared" si="9"/>
        <v>664777.95790659962</v>
      </c>
      <c r="F39" s="3">
        <f t="shared" si="9"/>
        <v>673023.2394794079</v>
      </c>
      <c r="G39" s="3">
        <f t="shared" si="9"/>
        <v>681339.91853765107</v>
      </c>
      <c r="H39" s="3">
        <f t="shared" si="9"/>
        <v>689727.463730352</v>
      </c>
      <c r="I39" s="3">
        <f t="shared" si="9"/>
        <v>698185.28633902548</v>
      </c>
      <c r="J39" s="3">
        <f t="shared" si="9"/>
        <v>706712.73788994004</v>
      </c>
      <c r="K39" s="3">
        <f t="shared" si="9"/>
        <v>715309.10768328165</v>
      </c>
      <c r="L39" s="3">
        <f t="shared" si="9"/>
        <v>723973.6202365061</v>
      </c>
      <c r="M39" s="3">
        <f t="shared" si="9"/>
        <v>732705.43263908464</v>
      </c>
      <c r="N39" s="3">
        <f t="shared" si="9"/>
        <v>741503.63181575434</v>
      </c>
      <c r="O39" s="3">
        <f t="shared" si="9"/>
        <v>750367.23169529729</v>
      </c>
      <c r="P39" s="3">
        <f t="shared" si="9"/>
        <v>759295.17028177541</v>
      </c>
      <c r="Q39" s="3">
        <f t="shared" si="9"/>
        <v>768286.30662505282</v>
      </c>
      <c r="R39" s="3">
        <f t="shared" si="9"/>
        <v>777339.41768733354</v>
      </c>
      <c r="S39" s="3">
        <f t="shared" si="9"/>
        <v>786453.19510234299</v>
      </c>
      <c r="T39" s="3">
        <f t="shared" si="9"/>
        <v>795626.24182367127</v>
      </c>
      <c r="U39" s="3">
        <f t="shared" si="9"/>
        <v>804857.06865869113</v>
      </c>
      <c r="V39" s="3">
        <f t="shared" si="9"/>
        <v>814144.09068433975</v>
      </c>
      <c r="W39" s="3">
        <f t="shared" si="9"/>
        <v>823485.62354095234</v>
      </c>
      <c r="X39" s="3">
        <f t="shared" si="9"/>
        <v>832879.87960019615</v>
      </c>
      <c r="Y39" s="3">
        <f t="shared" si="9"/>
        <v>842324.96400304581</v>
      </c>
      <c r="Z39" s="3">
        <f t="shared" si="9"/>
        <v>851818.87056359916</v>
      </c>
      <c r="AA39" s="3">
        <f t="shared" si="9"/>
        <v>861359.47753440856</v>
      </c>
      <c r="AB39" s="3">
        <f t="shared" si="9"/>
        <v>870944.54322886514</v>
      </c>
      <c r="AC39" s="3">
        <f t="shared" si="9"/>
        <v>880571.70149602392</v>
      </c>
      <c r="AD39" s="3">
        <f t="shared" si="9"/>
        <v>890238.45704312797</v>
      </c>
      <c r="AE39" s="3">
        <f t="shared" si="9"/>
        <v>899942.18060092302</v>
      </c>
      <c r="AF39" s="3">
        <f t="shared" si="9"/>
        <v>909680.10392671265</v>
      </c>
      <c r="AG39" s="3">
        <f t="shared" si="9"/>
        <v>919449.31463993643</v>
      </c>
    </row>
    <row r="40" spans="1:33" x14ac:dyDescent="0.2">
      <c r="A40" s="1" t="s">
        <v>35</v>
      </c>
      <c r="B40" s="1"/>
      <c r="C40" s="12">
        <f>NPV(C10/100,C39:AG39)</f>
        <v>-8.6631495331492375E-9</v>
      </c>
    </row>
    <row r="41" spans="1:33" x14ac:dyDescent="0.2">
      <c r="A41" s="1" t="s">
        <v>36</v>
      </c>
      <c r="B41" s="1"/>
      <c r="C41" s="15">
        <f>IRR(C39:AG39)</f>
        <v>7.0000000000000062E-2</v>
      </c>
    </row>
    <row r="43" spans="1:33" x14ac:dyDescent="0.2">
      <c r="A43" t="s">
        <v>37</v>
      </c>
      <c r="D43" s="3">
        <f t="shared" ref="D43:AG43" si="10">D35/$C$11</f>
        <v>506840.51439160301</v>
      </c>
      <c r="E43" s="3">
        <f t="shared" si="10"/>
        <v>511367.65992815356</v>
      </c>
      <c r="F43" s="3">
        <f t="shared" si="10"/>
        <v>517710.18421492912</v>
      </c>
      <c r="G43" s="3">
        <f t="shared" si="10"/>
        <v>524107.62964434695</v>
      </c>
      <c r="H43" s="3">
        <f t="shared" si="10"/>
        <v>530559.58748488617</v>
      </c>
      <c r="I43" s="3">
        <f t="shared" si="10"/>
        <v>537065.60487617343</v>
      </c>
      <c r="J43" s="3">
        <f t="shared" si="10"/>
        <v>543625.1829922616</v>
      </c>
      <c r="K43" s="3">
        <f t="shared" si="10"/>
        <v>550237.77514098585</v>
      </c>
      <c r="L43" s="3">
        <f t="shared" si="10"/>
        <v>556902.78479731234</v>
      </c>
      <c r="M43" s="3">
        <f t="shared" si="10"/>
        <v>563619.56356852665</v>
      </c>
      <c r="N43" s="3">
        <f t="shared" si="10"/>
        <v>570387.40908904176</v>
      </c>
      <c r="O43" s="3">
        <f t="shared" si="10"/>
        <v>577205.56284253637</v>
      </c>
      <c r="P43" s="3">
        <f t="shared" si="10"/>
        <v>584073.20790905796</v>
      </c>
      <c r="Q43" s="3">
        <f t="shared" si="10"/>
        <v>590989.46663465595</v>
      </c>
      <c r="R43" s="3">
        <f t="shared" si="10"/>
        <v>597953.39822102583</v>
      </c>
      <c r="S43" s="3">
        <f t="shared" si="10"/>
        <v>604963.99623257155</v>
      </c>
      <c r="T43" s="3">
        <f t="shared" si="10"/>
        <v>612020.18601820862</v>
      </c>
      <c r="U43" s="3">
        <f t="shared" si="10"/>
        <v>619120.82204514695</v>
      </c>
      <c r="V43" s="3">
        <f t="shared" si="10"/>
        <v>626264.68514179974</v>
      </c>
      <c r="W43" s="3">
        <f t="shared" si="10"/>
        <v>633450.47964688635</v>
      </c>
      <c r="X43" s="3">
        <f t="shared" si="10"/>
        <v>640676.83046168927</v>
      </c>
      <c r="Y43" s="3">
        <f t="shared" si="10"/>
        <v>647942.28000234289</v>
      </c>
      <c r="Z43" s="3">
        <f t="shared" si="10"/>
        <v>655245.28504892241</v>
      </c>
      <c r="AA43" s="3">
        <f t="shared" si="10"/>
        <v>662584.21348800662</v>
      </c>
      <c r="AB43" s="3">
        <f t="shared" si="10"/>
        <v>669957.34094528086</v>
      </c>
      <c r="AC43" s="3">
        <f t="shared" si="10"/>
        <v>677362.8473046337</v>
      </c>
      <c r="AD43" s="3">
        <f t="shared" si="10"/>
        <v>684798.81311009836</v>
      </c>
      <c r="AE43" s="3">
        <f t="shared" si="10"/>
        <v>692263.21584686381</v>
      </c>
      <c r="AF43" s="3">
        <f t="shared" si="10"/>
        <v>699753.92609747127</v>
      </c>
      <c r="AG43" s="3">
        <f t="shared" si="10"/>
        <v>707268.70356918185</v>
      </c>
    </row>
    <row r="44" spans="1:33" x14ac:dyDescent="0.2">
      <c r="A44" t="s">
        <v>42</v>
      </c>
      <c r="C44" s="11">
        <f>NPV(C9/100,D43:AG43)</f>
        <v>8631698.670712743</v>
      </c>
    </row>
    <row r="45" spans="1:33" x14ac:dyDescent="0.2">
      <c r="A45" t="s">
        <v>38</v>
      </c>
      <c r="C45" s="11"/>
      <c r="D45" s="11">
        <f>C44</f>
        <v>8631698.670712743</v>
      </c>
      <c r="E45" s="11">
        <f>D48</f>
        <v>8578022.3365335595</v>
      </c>
      <c r="F45" s="11">
        <f t="shared" ref="F45:AG45" si="11">E48</f>
        <v>8517000.8492734171</v>
      </c>
      <c r="G45" s="11">
        <f t="shared" si="11"/>
        <v>8446433.2096453421</v>
      </c>
      <c r="H45" s="11">
        <f t="shared" si="11"/>
        <v>8365763.323507376</v>
      </c>
      <c r="I45" s="11">
        <f t="shared" si="11"/>
        <v>8274406.310506627</v>
      </c>
      <c r="J45" s="11">
        <f t="shared" si="11"/>
        <v>8171747.0369320512</v>
      </c>
      <c r="K45" s="11">
        <f t="shared" si="11"/>
        <v>8057138.5733787222</v>
      </c>
      <c r="L45" s="11">
        <f t="shared" si="11"/>
        <v>7929900.5733401189</v>
      </c>
      <c r="M45" s="11">
        <f t="shared" si="11"/>
        <v>7789317.568643163</v>
      </c>
      <c r="N45" s="11">
        <f t="shared" si="11"/>
        <v>7634637.177428402</v>
      </c>
      <c r="O45" s="11">
        <f t="shared" si="11"/>
        <v>7465068.2201543516</v>
      </c>
      <c r="P45" s="11">
        <f t="shared" si="11"/>
        <v>7279778.7388699185</v>
      </c>
      <c r="Q45" s="11">
        <f t="shared" si="11"/>
        <v>7077893.9147515316</v>
      </c>
      <c r="R45" s="11">
        <f t="shared" si="11"/>
        <v>6858493.8786413306</v>
      </c>
      <c r="S45" s="11">
        <f t="shared" si="11"/>
        <v>6620611.4090489745</v>
      </c>
      <c r="T45" s="11">
        <f t="shared" si="11"/>
        <v>6363229.5117914742</v>
      </c>
      <c r="U45" s="11">
        <f t="shared" si="11"/>
        <v>6085278.8751423182</v>
      </c>
      <c r="V45" s="11">
        <f t="shared" si="11"/>
        <v>5785635.1940421425</v>
      </c>
      <c r="W45" s="11">
        <f t="shared" si="11"/>
        <v>5463116.3565875553</v>
      </c>
      <c r="X45" s="11">
        <f t="shared" si="11"/>
        <v>5116479.485661516</v>
      </c>
      <c r="Y45" s="11">
        <f t="shared" si="11"/>
        <v>4744417.8281970564</v>
      </c>
      <c r="Z45" s="11">
        <f t="shared" si="11"/>
        <v>4345557.484175059</v>
      </c>
      <c r="AA45" s="11">
        <f t="shared" si="11"/>
        <v>3918453.9670453272</v>
      </c>
      <c r="AB45" s="11">
        <f t="shared" si="11"/>
        <v>3461588.5868272004</v>
      </c>
      <c r="AC45" s="11">
        <f t="shared" si="11"/>
        <v>2973364.6466903477</v>
      </c>
      <c r="AD45" s="11">
        <f t="shared" si="11"/>
        <v>2452103.4433369571</v>
      </c>
      <c r="AE45" s="11">
        <f t="shared" si="11"/>
        <v>1896040.0610020491</v>
      </c>
      <c r="AF45" s="11">
        <f t="shared" si="11"/>
        <v>1303318.948357793</v>
      </c>
      <c r="AG45" s="11">
        <f t="shared" si="11"/>
        <v>671989.26704910584</v>
      </c>
    </row>
    <row r="46" spans="1:33" x14ac:dyDescent="0.2">
      <c r="A46" t="s">
        <v>39</v>
      </c>
      <c r="D46" s="11">
        <f>D45*$C$9/100</f>
        <v>453164.18021241901</v>
      </c>
      <c r="E46" s="11">
        <f>E45*$C$9/100</f>
        <v>450346.17266801186</v>
      </c>
      <c r="F46" s="11">
        <f t="shared" ref="F46:AG46" si="12">F45*$C$9/100</f>
        <v>447142.5445868544</v>
      </c>
      <c r="G46" s="11">
        <f t="shared" si="12"/>
        <v>443437.74350638047</v>
      </c>
      <c r="H46" s="11">
        <f t="shared" si="12"/>
        <v>439202.57448413724</v>
      </c>
      <c r="I46" s="11">
        <f t="shared" si="12"/>
        <v>434406.33130159794</v>
      </c>
      <c r="J46" s="11">
        <f t="shared" si="12"/>
        <v>429016.71943893266</v>
      </c>
      <c r="K46" s="11">
        <f t="shared" si="12"/>
        <v>422999.77510238288</v>
      </c>
      <c r="L46" s="11">
        <f t="shared" si="12"/>
        <v>416319.78010035626</v>
      </c>
      <c r="M46" s="11">
        <f t="shared" si="12"/>
        <v>408939.17235376604</v>
      </c>
      <c r="N46" s="11">
        <f t="shared" si="12"/>
        <v>400818.45181499107</v>
      </c>
      <c r="O46" s="11">
        <f t="shared" si="12"/>
        <v>391916.0815581035</v>
      </c>
      <c r="P46" s="11">
        <f t="shared" si="12"/>
        <v>382188.38379067072</v>
      </c>
      <c r="Q46" s="11">
        <f t="shared" si="12"/>
        <v>371589.43052445538</v>
      </c>
      <c r="R46" s="11">
        <f t="shared" si="12"/>
        <v>360070.92862866982</v>
      </c>
      <c r="S46" s="11">
        <f t="shared" si="12"/>
        <v>347582.09897507116</v>
      </c>
      <c r="T46" s="11">
        <f t="shared" si="12"/>
        <v>334069.5493690524</v>
      </c>
      <c r="U46" s="11">
        <f t="shared" si="12"/>
        <v>319477.1409449717</v>
      </c>
      <c r="V46" s="11">
        <f t="shared" si="12"/>
        <v>303745.84768721252</v>
      </c>
      <c r="W46" s="11">
        <f t="shared" si="12"/>
        <v>286813.60872084665</v>
      </c>
      <c r="X46" s="11">
        <f t="shared" si="12"/>
        <v>268615.17299722956</v>
      </c>
      <c r="Y46" s="11">
        <f t="shared" si="12"/>
        <v>249081.93598034547</v>
      </c>
      <c r="Z46" s="11">
        <f t="shared" si="12"/>
        <v>228141.76791919061</v>
      </c>
      <c r="AA46" s="11">
        <f t="shared" si="12"/>
        <v>205718.83326987966</v>
      </c>
      <c r="AB46" s="11">
        <f t="shared" si="12"/>
        <v>181733.40080842801</v>
      </c>
      <c r="AC46" s="11">
        <f t="shared" si="12"/>
        <v>156101.64395124326</v>
      </c>
      <c r="AD46" s="11">
        <f t="shared" si="12"/>
        <v>128735.43077519025</v>
      </c>
      <c r="AE46" s="11">
        <f t="shared" si="12"/>
        <v>99542.10320260757</v>
      </c>
      <c r="AF46" s="11">
        <f t="shared" si="12"/>
        <v>68424.244788784126</v>
      </c>
      <c r="AG46" s="11">
        <f t="shared" si="12"/>
        <v>35279.436520078059</v>
      </c>
    </row>
    <row r="47" spans="1:33" s="3" customFormat="1" x14ac:dyDescent="0.2">
      <c r="A47" s="3" t="s">
        <v>40</v>
      </c>
      <c r="D47" s="3">
        <f>IF(D45&lt;1,0,D43-D46)</f>
        <v>53676.334179183992</v>
      </c>
      <c r="E47" s="3">
        <f>IF(E45&lt;1,0,E43-E46)</f>
        <v>61021.487260141701</v>
      </c>
      <c r="F47" s="3">
        <f t="shared" ref="F47:AG47" si="13">IF(F45&lt;1,0,F43-F46)</f>
        <v>70567.639628074714</v>
      </c>
      <c r="G47" s="3">
        <f t="shared" si="13"/>
        <v>80669.886137966474</v>
      </c>
      <c r="H47" s="3">
        <f t="shared" si="13"/>
        <v>91357.013000748935</v>
      </c>
      <c r="I47" s="3">
        <f t="shared" si="13"/>
        <v>102659.27357457549</v>
      </c>
      <c r="J47" s="3">
        <f t="shared" si="13"/>
        <v>114608.46355332894</v>
      </c>
      <c r="K47" s="3">
        <f t="shared" si="13"/>
        <v>127238.00003860297</v>
      </c>
      <c r="L47" s="3">
        <f t="shared" si="13"/>
        <v>140583.00469695608</v>
      </c>
      <c r="M47" s="3">
        <f t="shared" si="13"/>
        <v>154680.3912147606</v>
      </c>
      <c r="N47" s="3">
        <f t="shared" si="13"/>
        <v>169568.95727405068</v>
      </c>
      <c r="O47" s="3">
        <f t="shared" si="13"/>
        <v>185289.48128443287</v>
      </c>
      <c r="P47" s="3">
        <f t="shared" si="13"/>
        <v>201884.82411838725</v>
      </c>
      <c r="Q47" s="3">
        <f t="shared" si="13"/>
        <v>219400.03611020057</v>
      </c>
      <c r="R47" s="3">
        <f t="shared" si="13"/>
        <v>237882.46959235601</v>
      </c>
      <c r="S47" s="3">
        <f t="shared" si="13"/>
        <v>257381.89725750039</v>
      </c>
      <c r="T47" s="3">
        <f t="shared" si="13"/>
        <v>277950.63664915622</v>
      </c>
      <c r="U47" s="3">
        <f t="shared" si="13"/>
        <v>299643.68110017525</v>
      </c>
      <c r="V47" s="3">
        <f t="shared" si="13"/>
        <v>322518.83745458722</v>
      </c>
      <c r="W47" s="3">
        <f t="shared" si="13"/>
        <v>346636.8709260397</v>
      </c>
      <c r="X47" s="3">
        <f t="shared" si="13"/>
        <v>372061.65746445971</v>
      </c>
      <c r="Y47" s="3">
        <f t="shared" si="13"/>
        <v>398860.34402199741</v>
      </c>
      <c r="Z47" s="3">
        <f t="shared" si="13"/>
        <v>427103.51712973183</v>
      </c>
      <c r="AA47" s="3">
        <f t="shared" si="13"/>
        <v>456865.38021812693</v>
      </c>
      <c r="AB47" s="3">
        <f t="shared" si="13"/>
        <v>488223.94013685285</v>
      </c>
      <c r="AC47" s="3">
        <f t="shared" si="13"/>
        <v>521261.20335339045</v>
      </c>
      <c r="AD47" s="3">
        <f t="shared" si="13"/>
        <v>556063.38233490812</v>
      </c>
      <c r="AE47" s="3">
        <f t="shared" si="13"/>
        <v>592721.11264425621</v>
      </c>
      <c r="AF47" s="3">
        <f t="shared" si="13"/>
        <v>631329.6813086872</v>
      </c>
      <c r="AG47" s="3">
        <f t="shared" si="13"/>
        <v>671989.26704910374</v>
      </c>
    </row>
    <row r="48" spans="1:33" x14ac:dyDescent="0.2">
      <c r="A48" t="s">
        <v>41</v>
      </c>
      <c r="D48" s="11">
        <f>D45-D47</f>
        <v>8578022.3365335595</v>
      </c>
      <c r="E48" s="11">
        <f>E45-E47</f>
        <v>8517000.8492734171</v>
      </c>
      <c r="F48" s="11">
        <f t="shared" ref="F48:AG48" si="14">F45-F47</f>
        <v>8446433.2096453421</v>
      </c>
      <c r="G48" s="11">
        <f t="shared" si="14"/>
        <v>8365763.323507376</v>
      </c>
      <c r="H48" s="11">
        <f t="shared" si="14"/>
        <v>8274406.310506627</v>
      </c>
      <c r="I48" s="11">
        <f t="shared" si="14"/>
        <v>8171747.0369320512</v>
      </c>
      <c r="J48" s="11">
        <f t="shared" si="14"/>
        <v>8057138.5733787222</v>
      </c>
      <c r="K48" s="11">
        <f t="shared" si="14"/>
        <v>7929900.5733401189</v>
      </c>
      <c r="L48" s="11">
        <f t="shared" si="14"/>
        <v>7789317.568643163</v>
      </c>
      <c r="M48" s="11">
        <f t="shared" si="14"/>
        <v>7634637.177428402</v>
      </c>
      <c r="N48" s="11">
        <f t="shared" si="14"/>
        <v>7465068.2201543516</v>
      </c>
      <c r="O48" s="11">
        <f t="shared" si="14"/>
        <v>7279778.7388699185</v>
      </c>
      <c r="P48" s="11">
        <f t="shared" si="14"/>
        <v>7077893.9147515316</v>
      </c>
      <c r="Q48" s="11">
        <f t="shared" si="14"/>
        <v>6858493.8786413306</v>
      </c>
      <c r="R48" s="11">
        <f t="shared" si="14"/>
        <v>6620611.4090489745</v>
      </c>
      <c r="S48" s="11">
        <f t="shared" si="14"/>
        <v>6363229.5117914742</v>
      </c>
      <c r="T48" s="11">
        <f t="shared" si="14"/>
        <v>6085278.8751423182</v>
      </c>
      <c r="U48" s="11">
        <f t="shared" si="14"/>
        <v>5785635.1940421425</v>
      </c>
      <c r="V48" s="11">
        <f t="shared" si="14"/>
        <v>5463116.3565875553</v>
      </c>
      <c r="W48" s="11">
        <f t="shared" si="14"/>
        <v>5116479.485661516</v>
      </c>
      <c r="X48" s="11">
        <f t="shared" si="14"/>
        <v>4744417.8281970564</v>
      </c>
      <c r="Y48" s="11">
        <f t="shared" si="14"/>
        <v>4345557.484175059</v>
      </c>
      <c r="Z48" s="11">
        <f t="shared" si="14"/>
        <v>3918453.9670453272</v>
      </c>
      <c r="AA48" s="11">
        <f t="shared" si="14"/>
        <v>3461588.5868272004</v>
      </c>
      <c r="AB48" s="11">
        <f t="shared" si="14"/>
        <v>2973364.6466903477</v>
      </c>
      <c r="AC48" s="11">
        <f t="shared" si="14"/>
        <v>2452103.4433369571</v>
      </c>
      <c r="AD48" s="11">
        <f t="shared" si="14"/>
        <v>1896040.0610020491</v>
      </c>
      <c r="AE48" s="11">
        <f t="shared" si="14"/>
        <v>1303318.948357793</v>
      </c>
      <c r="AF48" s="11">
        <f t="shared" si="14"/>
        <v>671989.26704910584</v>
      </c>
      <c r="AG48" s="11">
        <f t="shared" si="14"/>
        <v>2.0954757928848267E-9</v>
      </c>
    </row>
    <row r="50" spans="1:33" x14ac:dyDescent="0.2">
      <c r="A50" t="s">
        <v>43</v>
      </c>
      <c r="C50" s="3">
        <f>-(C37+C44)</f>
        <v>568301.32928725705</v>
      </c>
    </row>
    <row r="51" spans="1:33" x14ac:dyDescent="0.2">
      <c r="A51" t="s">
        <v>44</v>
      </c>
      <c r="C51" s="3">
        <f>-C50</f>
        <v>-568301.32928725705</v>
      </c>
      <c r="D51" s="3">
        <f>D39-D46-D47</f>
        <v>152052.15431748092</v>
      </c>
      <c r="E51" s="3">
        <f t="shared" ref="E51:AG51" si="15">E39-E46-E47</f>
        <v>153410.29797844606</v>
      </c>
      <c r="F51" s="3">
        <f t="shared" si="15"/>
        <v>155313.05526447878</v>
      </c>
      <c r="G51" s="3">
        <f t="shared" si="15"/>
        <v>157232.28889330412</v>
      </c>
      <c r="H51" s="3">
        <f t="shared" si="15"/>
        <v>159167.87624546583</v>
      </c>
      <c r="I51" s="3">
        <f t="shared" si="15"/>
        <v>161119.68146285205</v>
      </c>
      <c r="J51" s="3">
        <f t="shared" si="15"/>
        <v>163087.55489767843</v>
      </c>
      <c r="K51" s="3">
        <f t="shared" si="15"/>
        <v>165071.3325422958</v>
      </c>
      <c r="L51" s="3">
        <f t="shared" si="15"/>
        <v>167070.83543919376</v>
      </c>
      <c r="M51" s="3">
        <f t="shared" si="15"/>
        <v>169085.86907055799</v>
      </c>
      <c r="N51" s="3">
        <f t="shared" si="15"/>
        <v>171116.22272671259</v>
      </c>
      <c r="O51" s="3">
        <f t="shared" si="15"/>
        <v>173161.66885276092</v>
      </c>
      <c r="P51" s="3">
        <f t="shared" si="15"/>
        <v>175221.96237271745</v>
      </c>
      <c r="Q51" s="3">
        <f t="shared" si="15"/>
        <v>177296.83999039687</v>
      </c>
      <c r="R51" s="3">
        <f t="shared" si="15"/>
        <v>179386.01946630771</v>
      </c>
      <c r="S51" s="3">
        <f t="shared" si="15"/>
        <v>181489.19886977144</v>
      </c>
      <c r="T51" s="3">
        <f t="shared" si="15"/>
        <v>183606.05580546265</v>
      </c>
      <c r="U51" s="3">
        <f t="shared" si="15"/>
        <v>185736.24661354418</v>
      </c>
      <c r="V51" s="3">
        <f t="shared" si="15"/>
        <v>187879.40554254001</v>
      </c>
      <c r="W51" s="3">
        <f t="shared" si="15"/>
        <v>190035.14389406593</v>
      </c>
      <c r="X51" s="3">
        <f t="shared" si="15"/>
        <v>192203.04913850693</v>
      </c>
      <c r="Y51" s="3">
        <f t="shared" si="15"/>
        <v>194382.68400070292</v>
      </c>
      <c r="Z51" s="3">
        <f t="shared" si="15"/>
        <v>196573.58551467676</v>
      </c>
      <c r="AA51" s="3">
        <f t="shared" si="15"/>
        <v>198775.26404640195</v>
      </c>
      <c r="AB51" s="3">
        <f t="shared" si="15"/>
        <v>200987.20228358434</v>
      </c>
      <c r="AC51" s="3">
        <f t="shared" si="15"/>
        <v>203208.85419139022</v>
      </c>
      <c r="AD51" s="3">
        <f t="shared" si="15"/>
        <v>205439.64393302961</v>
      </c>
      <c r="AE51" s="3">
        <f t="shared" si="15"/>
        <v>207678.96475405921</v>
      </c>
      <c r="AF51" s="3">
        <f t="shared" si="15"/>
        <v>209926.17782924138</v>
      </c>
      <c r="AG51" s="3">
        <f t="shared" si="15"/>
        <v>212180.61107075459</v>
      </c>
    </row>
    <row r="52" spans="1:33" x14ac:dyDescent="0.2">
      <c r="A52" s="1" t="s">
        <v>46</v>
      </c>
      <c r="B52" s="1"/>
      <c r="C52" s="12">
        <f>NPV(C9/100,C51:AG51)</f>
        <v>1920387.9068185906</v>
      </c>
    </row>
    <row r="53" spans="1:33" x14ac:dyDescent="0.2">
      <c r="A53" s="1" t="s">
        <v>47</v>
      </c>
      <c r="B53" s="1"/>
      <c r="C53" s="15">
        <f>IRR(C51:AG51)</f>
        <v>0.27884890059106993</v>
      </c>
    </row>
    <row r="55" spans="1:33" x14ac:dyDescent="0.2">
      <c r="A55" t="s">
        <v>48</v>
      </c>
      <c r="C55" s="11">
        <f>C44</f>
        <v>8631698.670712743</v>
      </c>
    </row>
    <row r="56" spans="1:33" x14ac:dyDescent="0.2">
      <c r="A56" t="s">
        <v>49</v>
      </c>
      <c r="C56" s="3">
        <f>C50</f>
        <v>568301.32928725705</v>
      </c>
    </row>
    <row r="57" spans="1:33" x14ac:dyDescent="0.2">
      <c r="A57" s="1" t="s">
        <v>50</v>
      </c>
      <c r="B57" s="1"/>
      <c r="C57" s="13">
        <f>C55/C56</f>
        <v>15.188594898305634</v>
      </c>
    </row>
    <row r="59" spans="1:33" x14ac:dyDescent="0.2">
      <c r="A59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3DBF-870F-1543-9969-6072752F2D33}">
  <dimension ref="A1:AG59"/>
  <sheetViews>
    <sheetView zoomScale="103" zoomScaleNormal="110" workbookViewId="0">
      <selection activeCell="C19" sqref="C19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(5*1000000*H4)</f>
        <v>8560000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8560000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5*1000000*J4</f>
        <v>65000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19">
        <f>+Parameters!E11</f>
        <v>5960.8019999999997</v>
      </c>
      <c r="D13" t="s">
        <v>54</v>
      </c>
      <c r="E13" t="s">
        <v>59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5364.7218000000003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3">
        <f>+Parameters!F11</f>
        <v>149.99</v>
      </c>
      <c r="D19" t="s">
        <v>19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5364.7218000000003</v>
      </c>
      <c r="E26" s="8">
        <f>D26*(1-C15/100)</f>
        <v>5321.8040256000004</v>
      </c>
      <c r="F26" s="8">
        <f>E26*(1-$C$16/100)</f>
        <v>5295.195005472</v>
      </c>
      <c r="G26" s="8">
        <f t="shared" ref="G26:AG26" si="2">F26*(1-$C$16/100)</f>
        <v>5268.7190304446403</v>
      </c>
      <c r="H26" s="8">
        <f t="shared" si="2"/>
        <v>5242.375435292417</v>
      </c>
      <c r="I26" s="8">
        <f t="shared" si="2"/>
        <v>5216.1635581159553</v>
      </c>
      <c r="J26" s="8">
        <f t="shared" si="2"/>
        <v>5190.0827403253752</v>
      </c>
      <c r="K26" s="8">
        <f t="shared" si="2"/>
        <v>5164.1323266237487</v>
      </c>
      <c r="L26" s="8">
        <f t="shared" si="2"/>
        <v>5138.3116649906297</v>
      </c>
      <c r="M26" s="8">
        <f t="shared" si="2"/>
        <v>5112.6201066656768</v>
      </c>
      <c r="N26" s="8">
        <f t="shared" si="2"/>
        <v>5087.0570061323488</v>
      </c>
      <c r="O26" s="8">
        <f t="shared" si="2"/>
        <v>5061.6217211016874</v>
      </c>
      <c r="P26" s="8">
        <f t="shared" si="2"/>
        <v>5036.3136124961793</v>
      </c>
      <c r="Q26" s="8">
        <f t="shared" si="2"/>
        <v>5011.132044433698</v>
      </c>
      <c r="R26" s="8">
        <f t="shared" si="2"/>
        <v>4986.0763842115293</v>
      </c>
      <c r="S26" s="8">
        <f t="shared" si="2"/>
        <v>4961.1460022904721</v>
      </c>
      <c r="T26" s="8">
        <f t="shared" si="2"/>
        <v>4936.3402722790197</v>
      </c>
      <c r="U26" s="8">
        <f t="shared" si="2"/>
        <v>4911.6585709176243</v>
      </c>
      <c r="V26" s="8">
        <f t="shared" si="2"/>
        <v>4887.1002780630361</v>
      </c>
      <c r="W26" s="8">
        <f t="shared" si="2"/>
        <v>4862.664776672721</v>
      </c>
      <c r="X26" s="8">
        <f t="shared" si="2"/>
        <v>4838.3514527893576</v>
      </c>
      <c r="Y26" s="8">
        <f t="shared" si="2"/>
        <v>4814.1596955254108</v>
      </c>
      <c r="Z26" s="8">
        <f t="shared" si="2"/>
        <v>4790.0888970477836</v>
      </c>
      <c r="AA26" s="8">
        <f t="shared" si="2"/>
        <v>4766.1384525625444</v>
      </c>
      <c r="AB26" s="8">
        <f t="shared" si="2"/>
        <v>4742.3077602997319</v>
      </c>
      <c r="AC26" s="8">
        <f t="shared" si="2"/>
        <v>4718.5962214982328</v>
      </c>
      <c r="AD26" s="8">
        <f t="shared" si="2"/>
        <v>4695.0032403907417</v>
      </c>
      <c r="AE26" s="8">
        <f t="shared" si="2"/>
        <v>4671.528224188788</v>
      </c>
      <c r="AF26" s="8">
        <f t="shared" si="2"/>
        <v>4648.1705830678438</v>
      </c>
      <c r="AG26" s="8">
        <f t="shared" si="2"/>
        <v>4624.9297301525048</v>
      </c>
    </row>
    <row r="27" spans="1:33" s="8" customFormat="1" x14ac:dyDescent="0.2">
      <c r="A27" s="8" t="s">
        <v>27</v>
      </c>
      <c r="D27" s="8">
        <f>(1-$C$17/100)*D26</f>
        <v>5364.7218000000003</v>
      </c>
      <c r="E27" s="8">
        <f t="shared" ref="E27:AG27" si="3">(1-$C$17/100)*E26</f>
        <v>5321.8040256000004</v>
      </c>
      <c r="F27" s="8">
        <f t="shared" si="3"/>
        <v>5295.195005472</v>
      </c>
      <c r="G27" s="8">
        <f t="shared" si="3"/>
        <v>5268.7190304446403</v>
      </c>
      <c r="H27" s="8">
        <f t="shared" si="3"/>
        <v>5242.375435292417</v>
      </c>
      <c r="I27" s="8">
        <f t="shared" si="3"/>
        <v>5216.1635581159553</v>
      </c>
      <c r="J27" s="8">
        <f t="shared" si="3"/>
        <v>5190.0827403253752</v>
      </c>
      <c r="K27" s="8">
        <f t="shared" si="3"/>
        <v>5164.1323266237487</v>
      </c>
      <c r="L27" s="8">
        <f t="shared" si="3"/>
        <v>5138.3116649906297</v>
      </c>
      <c r="M27" s="8">
        <f t="shared" si="3"/>
        <v>5112.6201066656768</v>
      </c>
      <c r="N27" s="8">
        <f t="shared" si="3"/>
        <v>5087.0570061323488</v>
      </c>
      <c r="O27" s="8">
        <f t="shared" si="3"/>
        <v>5061.6217211016874</v>
      </c>
      <c r="P27" s="8">
        <f t="shared" si="3"/>
        <v>5036.3136124961793</v>
      </c>
      <c r="Q27" s="8">
        <f t="shared" si="3"/>
        <v>5011.132044433698</v>
      </c>
      <c r="R27" s="8">
        <f t="shared" si="3"/>
        <v>4986.0763842115293</v>
      </c>
      <c r="S27" s="8">
        <f t="shared" si="3"/>
        <v>4961.1460022904721</v>
      </c>
      <c r="T27" s="8">
        <f t="shared" si="3"/>
        <v>4936.3402722790197</v>
      </c>
      <c r="U27" s="8">
        <f t="shared" si="3"/>
        <v>4911.6585709176243</v>
      </c>
      <c r="V27" s="8">
        <f t="shared" si="3"/>
        <v>4887.1002780630361</v>
      </c>
      <c r="W27" s="8">
        <f t="shared" si="3"/>
        <v>4862.664776672721</v>
      </c>
      <c r="X27" s="8">
        <f t="shared" si="3"/>
        <v>4838.3514527893576</v>
      </c>
      <c r="Y27" s="8">
        <f t="shared" si="3"/>
        <v>4814.1596955254108</v>
      </c>
      <c r="Z27" s="8">
        <f t="shared" si="3"/>
        <v>4790.0888970477836</v>
      </c>
      <c r="AA27" s="8">
        <f t="shared" si="3"/>
        <v>4766.1384525625444</v>
      </c>
      <c r="AB27" s="8">
        <f t="shared" si="3"/>
        <v>4742.3077602997319</v>
      </c>
      <c r="AC27" s="8">
        <f t="shared" si="3"/>
        <v>4718.5962214982328</v>
      </c>
      <c r="AD27" s="8">
        <f t="shared" si="3"/>
        <v>4695.0032403907417</v>
      </c>
      <c r="AE27" s="8">
        <f t="shared" si="3"/>
        <v>4671.528224188788</v>
      </c>
      <c r="AF27" s="8">
        <f t="shared" si="3"/>
        <v>4648.1705830678438</v>
      </c>
      <c r="AG27" s="8">
        <f t="shared" si="3"/>
        <v>4624.9297301525048</v>
      </c>
    </row>
    <row r="29" spans="1:33" x14ac:dyDescent="0.2">
      <c r="A29" t="s">
        <v>28</v>
      </c>
      <c r="D29" s="3">
        <f>C19</f>
        <v>149.99</v>
      </c>
      <c r="E29" s="3">
        <f>D29*(1+$C$20/100)</f>
        <v>152.9898</v>
      </c>
      <c r="F29" s="3">
        <f t="shared" ref="F29:AG29" si="4">E29*(1+$C$20/100)</f>
        <v>156.04959600000001</v>
      </c>
      <c r="G29" s="3">
        <f t="shared" si="4"/>
        <v>159.17058792</v>
      </c>
      <c r="H29" s="3">
        <f t="shared" si="4"/>
        <v>162.35399967840002</v>
      </c>
      <c r="I29" s="3">
        <f t="shared" si="4"/>
        <v>165.60107967196802</v>
      </c>
      <c r="J29" s="3">
        <f t="shared" si="4"/>
        <v>168.91310126540739</v>
      </c>
      <c r="K29" s="3">
        <f t="shared" si="4"/>
        <v>172.29136329071554</v>
      </c>
      <c r="L29" s="3">
        <f t="shared" si="4"/>
        <v>175.73719055652984</v>
      </c>
      <c r="M29" s="3">
        <f t="shared" si="4"/>
        <v>179.25193436766043</v>
      </c>
      <c r="N29" s="3">
        <f t="shared" si="4"/>
        <v>182.83697305501363</v>
      </c>
      <c r="O29" s="3">
        <f t="shared" si="4"/>
        <v>186.4937125161139</v>
      </c>
      <c r="P29" s="3">
        <f t="shared" si="4"/>
        <v>190.22358676643617</v>
      </c>
      <c r="Q29" s="3">
        <f t="shared" si="4"/>
        <v>194.02805850176489</v>
      </c>
      <c r="R29" s="3">
        <f t="shared" si="4"/>
        <v>197.90861967180018</v>
      </c>
      <c r="S29" s="3">
        <f t="shared" si="4"/>
        <v>201.86679206523618</v>
      </c>
      <c r="T29" s="3">
        <f t="shared" si="4"/>
        <v>205.90412790654091</v>
      </c>
      <c r="U29" s="3">
        <f t="shared" si="4"/>
        <v>210.02221046467173</v>
      </c>
      <c r="V29" s="3">
        <f t="shared" si="4"/>
        <v>214.22265467396517</v>
      </c>
      <c r="W29" s="3">
        <f t="shared" si="4"/>
        <v>218.50710776744447</v>
      </c>
      <c r="X29" s="3">
        <f t="shared" si="4"/>
        <v>222.87724992279337</v>
      </c>
      <c r="Y29" s="3">
        <f t="shared" si="4"/>
        <v>227.33479492124923</v>
      </c>
      <c r="Z29" s="3">
        <f t="shared" si="4"/>
        <v>231.88149081967421</v>
      </c>
      <c r="AA29" s="3">
        <f t="shared" si="4"/>
        <v>236.5191206360677</v>
      </c>
      <c r="AB29" s="3">
        <f t="shared" si="4"/>
        <v>241.24950304878905</v>
      </c>
      <c r="AC29" s="3">
        <f t="shared" si="4"/>
        <v>246.07449310976483</v>
      </c>
      <c r="AD29" s="3">
        <f t="shared" si="4"/>
        <v>250.99598297196013</v>
      </c>
      <c r="AE29" s="3">
        <f t="shared" si="4"/>
        <v>256.01590263139934</v>
      </c>
      <c r="AF29" s="3">
        <f t="shared" si="4"/>
        <v>261.13622068402731</v>
      </c>
      <c r="AG29" s="3">
        <f t="shared" si="4"/>
        <v>266.35894509770787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804654.62278200011</v>
      </c>
      <c r="E33" s="3">
        <f t="shared" ref="E33:AG33" si="6">E29*E27</f>
        <v>814181.73351573898</v>
      </c>
      <c r="F33" s="3">
        <f t="shared" si="6"/>
        <v>826313.04134512343</v>
      </c>
      <c r="G33" s="3">
        <f t="shared" si="6"/>
        <v>838625.10566116578</v>
      </c>
      <c r="H33" s="3">
        <f t="shared" si="6"/>
        <v>851120.61973551719</v>
      </c>
      <c r="I33" s="3">
        <f t="shared" si="6"/>
        <v>863802.31696957652</v>
      </c>
      <c r="J33" s="3">
        <f t="shared" si="6"/>
        <v>876672.97149242321</v>
      </c>
      <c r="K33" s="3">
        <f t="shared" si="6"/>
        <v>889735.39876766037</v>
      </c>
      <c r="L33" s="3">
        <f t="shared" si="6"/>
        <v>902992.45620929834</v>
      </c>
      <c r="M33" s="3">
        <f t="shared" si="6"/>
        <v>916447.04380681692</v>
      </c>
      <c r="N33" s="3">
        <f t="shared" si="6"/>
        <v>930102.10475953855</v>
      </c>
      <c r="O33" s="3">
        <f t="shared" si="6"/>
        <v>943960.6261204558</v>
      </c>
      <c r="P33" s="3">
        <f t="shared" si="6"/>
        <v>958025.63944965054</v>
      </c>
      <c r="Q33" s="3">
        <f t="shared" si="6"/>
        <v>972300.22147745022</v>
      </c>
      <c r="R33" s="3">
        <f t="shared" si="6"/>
        <v>986787.49477746419</v>
      </c>
      <c r="S33" s="3">
        <f t="shared" si="6"/>
        <v>1001490.6284496485</v>
      </c>
      <c r="T33" s="3">
        <f t="shared" si="6"/>
        <v>1016412.8388135482</v>
      </c>
      <c r="U33" s="3">
        <f t="shared" si="6"/>
        <v>1031557.39011187</v>
      </c>
      <c r="V33" s="3">
        <f t="shared" si="6"/>
        <v>1046927.595224537</v>
      </c>
      <c r="W33" s="3">
        <f t="shared" si="6"/>
        <v>1062526.8163933826</v>
      </c>
      <c r="X33" s="3">
        <f t="shared" si="6"/>
        <v>1078358.4659576439</v>
      </c>
      <c r="Y33" s="3">
        <f t="shared" si="6"/>
        <v>1094426.0071004129</v>
      </c>
      <c r="Z33" s="3">
        <f t="shared" si="6"/>
        <v>1110732.954606209</v>
      </c>
      <c r="AA33" s="3">
        <f t="shared" si="6"/>
        <v>1127282.8756298416</v>
      </c>
      <c r="AB33" s="3">
        <f t="shared" si="6"/>
        <v>1144079.3904767262</v>
      </c>
      <c r="AC33" s="3">
        <f t="shared" si="6"/>
        <v>1161126.1733948293</v>
      </c>
      <c r="AD33" s="3">
        <f t="shared" si="6"/>
        <v>1178426.9533784122</v>
      </c>
      <c r="AE33" s="3">
        <f t="shared" si="6"/>
        <v>1195985.5149837506</v>
      </c>
      <c r="AF33" s="3">
        <f t="shared" si="6"/>
        <v>1213805.6991570084</v>
      </c>
      <c r="AG33" s="3">
        <f t="shared" si="6"/>
        <v>1231891.4040744479</v>
      </c>
    </row>
    <row r="34" spans="1:33" x14ac:dyDescent="0.2">
      <c r="A34" t="s">
        <v>32</v>
      </c>
      <c r="D34" s="3">
        <f>-C6</f>
        <v>-65000</v>
      </c>
      <c r="E34" s="3">
        <f>$D$34*E24</f>
        <v>-67015</v>
      </c>
      <c r="F34" s="3">
        <f t="shared" ref="F34:AG34" si="7">$D$34*F24</f>
        <v>-69092.464999999982</v>
      </c>
      <c r="G34" s="3">
        <f t="shared" si="7"/>
        <v>-71234.331414999979</v>
      </c>
      <c r="H34" s="3">
        <f t="shared" si="7"/>
        <v>-73442.595688864982</v>
      </c>
      <c r="I34" s="3">
        <f t="shared" si="7"/>
        <v>-75719.3161552198</v>
      </c>
      <c r="J34" s="3">
        <f t="shared" si="7"/>
        <v>-78066.614956031597</v>
      </c>
      <c r="K34" s="3">
        <f t="shared" si="7"/>
        <v>-80486.680019668565</v>
      </c>
      <c r="L34" s="3">
        <f t="shared" si="7"/>
        <v>-82981.767100278303</v>
      </c>
      <c r="M34" s="3">
        <f t="shared" si="7"/>
        <v>-85554.201880386914</v>
      </c>
      <c r="N34" s="3">
        <f t="shared" si="7"/>
        <v>-88206.382138678906</v>
      </c>
      <c r="O34" s="3">
        <f t="shared" si="7"/>
        <v>-90940.77998497794</v>
      </c>
      <c r="P34" s="3">
        <f t="shared" si="7"/>
        <v>-93759.944164512272</v>
      </c>
      <c r="Q34" s="3">
        <f t="shared" si="7"/>
        <v>-96666.502433612142</v>
      </c>
      <c r="R34" s="3">
        <f t="shared" si="7"/>
        <v>-99663.164009054104</v>
      </c>
      <c r="S34" s="3">
        <f t="shared" si="7"/>
        <v>-102752.72209333477</v>
      </c>
      <c r="T34" s="3">
        <f t="shared" si="7"/>
        <v>-105938.05647822816</v>
      </c>
      <c r="U34" s="3">
        <f t="shared" si="7"/>
        <v>-109222.13622905323</v>
      </c>
      <c r="V34" s="3">
        <f t="shared" si="7"/>
        <v>-112608.02245215386</v>
      </c>
      <c r="W34" s="3">
        <f t="shared" si="7"/>
        <v>-116098.87114817061</v>
      </c>
      <c r="X34" s="3">
        <f t="shared" si="7"/>
        <v>-119697.93615376391</v>
      </c>
      <c r="Y34" s="3">
        <f t="shared" si="7"/>
        <v>-123408.57217453058</v>
      </c>
      <c r="Z34" s="3">
        <f t="shared" si="7"/>
        <v>-127234.23791194103</v>
      </c>
      <c r="AA34" s="3">
        <f t="shared" si="7"/>
        <v>-131178.49928721119</v>
      </c>
      <c r="AB34" s="3">
        <f t="shared" si="7"/>
        <v>-135245.03276511471</v>
      </c>
      <c r="AC34" s="3">
        <f t="shared" si="7"/>
        <v>-139437.62878083327</v>
      </c>
      <c r="AD34" s="3">
        <f t="shared" si="7"/>
        <v>-143760.19527303908</v>
      </c>
      <c r="AE34" s="3">
        <f t="shared" si="7"/>
        <v>-148216.7613265033</v>
      </c>
      <c r="AF34" s="3">
        <f t="shared" si="7"/>
        <v>-152811.48092762491</v>
      </c>
      <c r="AG34" s="3">
        <f t="shared" si="7"/>
        <v>-157548.63683638128</v>
      </c>
    </row>
    <row r="35" spans="1:33" x14ac:dyDescent="0.2">
      <c r="A35" t="s">
        <v>33</v>
      </c>
      <c r="D35" s="3">
        <f>D33+D34</f>
        <v>739654.62278200011</v>
      </c>
      <c r="E35" s="3">
        <f t="shared" ref="E35:AG35" si="8">E33+E34</f>
        <v>747166.73351573898</v>
      </c>
      <c r="F35" s="3">
        <f t="shared" si="8"/>
        <v>757220.57634512347</v>
      </c>
      <c r="G35" s="3">
        <f t="shared" si="8"/>
        <v>767390.77424616576</v>
      </c>
      <c r="H35" s="3">
        <f t="shared" si="8"/>
        <v>777678.02404665225</v>
      </c>
      <c r="I35" s="3">
        <f t="shared" si="8"/>
        <v>788083.00081435672</v>
      </c>
      <c r="J35" s="3">
        <f t="shared" si="8"/>
        <v>798606.35653639166</v>
      </c>
      <c r="K35" s="3">
        <f t="shared" si="8"/>
        <v>809248.71874799184</v>
      </c>
      <c r="L35" s="3">
        <f t="shared" si="8"/>
        <v>820010.68910902005</v>
      </c>
      <c r="M35" s="3">
        <f t="shared" si="8"/>
        <v>830892.84192643</v>
      </c>
      <c r="N35" s="3">
        <f t="shared" si="8"/>
        <v>841895.72262085963</v>
      </c>
      <c r="O35" s="3">
        <f t="shared" si="8"/>
        <v>853019.84613547788</v>
      </c>
      <c r="P35" s="3">
        <f t="shared" si="8"/>
        <v>864265.69528513821</v>
      </c>
      <c r="Q35" s="3">
        <f t="shared" si="8"/>
        <v>875633.71904383809</v>
      </c>
      <c r="R35" s="3">
        <f t="shared" si="8"/>
        <v>887124.33076841012</v>
      </c>
      <c r="S35" s="3">
        <f t="shared" si="8"/>
        <v>898737.90635631373</v>
      </c>
      <c r="T35" s="3">
        <f t="shared" si="8"/>
        <v>910474.78233532002</v>
      </c>
      <c r="U35" s="3">
        <f t="shared" si="8"/>
        <v>922335.25388281676</v>
      </c>
      <c r="V35" s="3">
        <f t="shared" si="8"/>
        <v>934319.57277238311</v>
      </c>
      <c r="W35" s="3">
        <f t="shared" si="8"/>
        <v>946427.94524521194</v>
      </c>
      <c r="X35" s="3">
        <f t="shared" si="8"/>
        <v>958660.52980388002</v>
      </c>
      <c r="Y35" s="3">
        <f t="shared" si="8"/>
        <v>971017.43492588226</v>
      </c>
      <c r="Z35" s="3">
        <f t="shared" si="8"/>
        <v>983498.71669426793</v>
      </c>
      <c r="AA35" s="3">
        <f t="shared" si="8"/>
        <v>996104.37634263036</v>
      </c>
      <c r="AB35" s="3">
        <f t="shared" si="8"/>
        <v>1008834.3577116115</v>
      </c>
      <c r="AC35" s="3">
        <f t="shared" si="8"/>
        <v>1021688.5446139961</v>
      </c>
      <c r="AD35" s="3">
        <f t="shared" si="8"/>
        <v>1034666.7581053731</v>
      </c>
      <c r="AE35" s="3">
        <f t="shared" si="8"/>
        <v>1047768.7536572474</v>
      </c>
      <c r="AF35" s="3">
        <f t="shared" si="8"/>
        <v>1060994.2182293835</v>
      </c>
      <c r="AG35" s="3">
        <f t="shared" si="8"/>
        <v>1074342.7672380665</v>
      </c>
    </row>
    <row r="37" spans="1:33" x14ac:dyDescent="0.2">
      <c r="A37" t="s">
        <v>34</v>
      </c>
      <c r="C37" s="3">
        <f>-C5</f>
        <v>-8560000</v>
      </c>
    </row>
    <row r="39" spans="1:33" x14ac:dyDescent="0.2">
      <c r="A39" t="s">
        <v>45</v>
      </c>
      <c r="C39" s="3">
        <f>C37+C35</f>
        <v>-8560000</v>
      </c>
      <c r="D39" s="3">
        <f t="shared" ref="D39:AG39" si="9">D37+D35</f>
        <v>739654.62278200011</v>
      </c>
      <c r="E39" s="3">
        <f t="shared" si="9"/>
        <v>747166.73351573898</v>
      </c>
      <c r="F39" s="3">
        <f t="shared" si="9"/>
        <v>757220.57634512347</v>
      </c>
      <c r="G39" s="3">
        <f t="shared" si="9"/>
        <v>767390.77424616576</v>
      </c>
      <c r="H39" s="3">
        <f t="shared" si="9"/>
        <v>777678.02404665225</v>
      </c>
      <c r="I39" s="3">
        <f t="shared" si="9"/>
        <v>788083.00081435672</v>
      </c>
      <c r="J39" s="3">
        <f t="shared" si="9"/>
        <v>798606.35653639166</v>
      </c>
      <c r="K39" s="3">
        <f t="shared" si="9"/>
        <v>809248.71874799184</v>
      </c>
      <c r="L39" s="3">
        <f t="shared" si="9"/>
        <v>820010.68910902005</v>
      </c>
      <c r="M39" s="3">
        <f t="shared" si="9"/>
        <v>830892.84192643</v>
      </c>
      <c r="N39" s="3">
        <f t="shared" si="9"/>
        <v>841895.72262085963</v>
      </c>
      <c r="O39" s="3">
        <f t="shared" si="9"/>
        <v>853019.84613547788</v>
      </c>
      <c r="P39" s="3">
        <f t="shared" si="9"/>
        <v>864265.69528513821</v>
      </c>
      <c r="Q39" s="3">
        <f t="shared" si="9"/>
        <v>875633.71904383809</v>
      </c>
      <c r="R39" s="3">
        <f t="shared" si="9"/>
        <v>887124.33076841012</v>
      </c>
      <c r="S39" s="3">
        <f t="shared" si="9"/>
        <v>898737.90635631373</v>
      </c>
      <c r="T39" s="3">
        <f t="shared" si="9"/>
        <v>910474.78233532002</v>
      </c>
      <c r="U39" s="3">
        <f t="shared" si="9"/>
        <v>922335.25388281676</v>
      </c>
      <c r="V39" s="3">
        <f t="shared" si="9"/>
        <v>934319.57277238311</v>
      </c>
      <c r="W39" s="3">
        <f t="shared" si="9"/>
        <v>946427.94524521194</v>
      </c>
      <c r="X39" s="3">
        <f t="shared" si="9"/>
        <v>958660.52980388002</v>
      </c>
      <c r="Y39" s="3">
        <f t="shared" si="9"/>
        <v>971017.43492588226</v>
      </c>
      <c r="Z39" s="3">
        <f t="shared" si="9"/>
        <v>983498.71669426793</v>
      </c>
      <c r="AA39" s="3">
        <f t="shared" si="9"/>
        <v>996104.37634263036</v>
      </c>
      <c r="AB39" s="3">
        <f t="shared" si="9"/>
        <v>1008834.3577116115</v>
      </c>
      <c r="AC39" s="3">
        <f t="shared" si="9"/>
        <v>1021688.5446139961</v>
      </c>
      <c r="AD39" s="3">
        <f t="shared" si="9"/>
        <v>1034666.7581053731</v>
      </c>
      <c r="AE39" s="3">
        <f t="shared" si="9"/>
        <v>1047768.7536572474</v>
      </c>
      <c r="AF39" s="3">
        <f t="shared" si="9"/>
        <v>1060994.2182293835</v>
      </c>
      <c r="AG39" s="3">
        <f t="shared" si="9"/>
        <v>1074342.7672380665</v>
      </c>
    </row>
    <row r="40" spans="1:33" x14ac:dyDescent="0.2">
      <c r="A40" s="1" t="s">
        <v>35</v>
      </c>
      <c r="B40" s="1"/>
      <c r="C40" s="12">
        <f>NPV(C10/100,C39:AG39)</f>
        <v>1777058.4917863393</v>
      </c>
    </row>
    <row r="41" spans="1:33" x14ac:dyDescent="0.2">
      <c r="A41" s="1" t="s">
        <v>36</v>
      </c>
      <c r="B41" s="1"/>
      <c r="C41" s="21">
        <f>IRR(C39:AG39)</f>
        <v>8.9699217910252482E-2</v>
      </c>
    </row>
    <row r="43" spans="1:33" x14ac:dyDescent="0.2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C44" s="11"/>
    </row>
    <row r="45" spans="1:33" x14ac:dyDescent="0.2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x14ac:dyDescent="0.2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s="3" customFormat="1" x14ac:dyDescent="0.2"/>
    <row r="48" spans="1:33" x14ac:dyDescent="0.2"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50" spans="1:33" x14ac:dyDescent="0.2">
      <c r="C50" s="3"/>
    </row>
    <row r="51" spans="1:33" x14ac:dyDescent="0.2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x14ac:dyDescent="0.2">
      <c r="A52" s="1"/>
      <c r="B52" s="1"/>
      <c r="C52" s="12"/>
    </row>
    <row r="53" spans="1:33" x14ac:dyDescent="0.2">
      <c r="A53" s="1"/>
      <c r="B53" s="1"/>
      <c r="C53" s="15"/>
    </row>
    <row r="55" spans="1:33" x14ac:dyDescent="0.2">
      <c r="A55" t="s">
        <v>48</v>
      </c>
      <c r="C55" s="11">
        <f>C44</f>
        <v>0</v>
      </c>
    </row>
    <row r="56" spans="1:33" x14ac:dyDescent="0.2">
      <c r="A56" t="s">
        <v>49</v>
      </c>
      <c r="C56" s="3">
        <f>C50</f>
        <v>0</v>
      </c>
    </row>
    <row r="57" spans="1:33" x14ac:dyDescent="0.2">
      <c r="A57" s="1" t="s">
        <v>50</v>
      </c>
      <c r="B57" s="1"/>
      <c r="C57" s="13" t="e">
        <f>C55/C56</f>
        <v>#DIV/0!</v>
      </c>
    </row>
    <row r="59" spans="1:33" x14ac:dyDescent="0.2">
      <c r="A59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D190-8FBB-45B2-8C09-25F4125154CA}">
  <dimension ref="A1:AG57"/>
  <sheetViews>
    <sheetView topLeftCell="A25" zoomScale="103" zoomScaleNormal="110" workbookViewId="0">
      <selection activeCell="C20" sqref="C20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(5*1000000*I4)</f>
        <v>9200000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9200000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5*1000000*K4</f>
        <v>100000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19">
        <f>+[1]Parameters!E14</f>
        <v>6665.5720000000001</v>
      </c>
      <c r="D13" t="s">
        <v>54</v>
      </c>
      <c r="E13" t="s">
        <v>59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5999.0147999999999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3">
        <f>+Parameters!F14</f>
        <v>150.77000000000001</v>
      </c>
      <c r="D19" t="s">
        <v>19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5999.0147999999999</v>
      </c>
      <c r="E26" s="8">
        <f>D26*(1-C15/100)</f>
        <v>5951.0226815999995</v>
      </c>
      <c r="F26" s="8">
        <f>E26*(1-$C$16/100)</f>
        <v>5921.2675681919991</v>
      </c>
      <c r="G26" s="8">
        <f t="shared" ref="G26:AG26" si="2">F26*(1-$C$16/100)</f>
        <v>5891.6612303510392</v>
      </c>
      <c r="H26" s="8">
        <f t="shared" si="2"/>
        <v>5862.2029241992841</v>
      </c>
      <c r="I26" s="8">
        <f t="shared" si="2"/>
        <v>5832.8919095782876</v>
      </c>
      <c r="J26" s="8">
        <f t="shared" si="2"/>
        <v>5803.7274500303965</v>
      </c>
      <c r="K26" s="8">
        <f t="shared" si="2"/>
        <v>5774.7088127802444</v>
      </c>
      <c r="L26" s="8">
        <f t="shared" si="2"/>
        <v>5745.8352687163433</v>
      </c>
      <c r="M26" s="8">
        <f t="shared" si="2"/>
        <v>5717.1060923727619</v>
      </c>
      <c r="N26" s="8">
        <f t="shared" si="2"/>
        <v>5688.5205619108983</v>
      </c>
      <c r="O26" s="8">
        <f t="shared" si="2"/>
        <v>5660.0779591013434</v>
      </c>
      <c r="P26" s="8">
        <f t="shared" si="2"/>
        <v>5631.7775693058366</v>
      </c>
      <c r="Q26" s="8">
        <f t="shared" si="2"/>
        <v>5603.6186814593075</v>
      </c>
      <c r="R26" s="8">
        <f t="shared" si="2"/>
        <v>5575.6005880520106</v>
      </c>
      <c r="S26" s="8">
        <f t="shared" si="2"/>
        <v>5547.722585111751</v>
      </c>
      <c r="T26" s="8">
        <f t="shared" si="2"/>
        <v>5519.9839721861917</v>
      </c>
      <c r="U26" s="8">
        <f t="shared" si="2"/>
        <v>5492.3840523252611</v>
      </c>
      <c r="V26" s="8">
        <f t="shared" si="2"/>
        <v>5464.9221320636352</v>
      </c>
      <c r="W26" s="8">
        <f t="shared" si="2"/>
        <v>5437.5975214033169</v>
      </c>
      <c r="X26" s="8">
        <f t="shared" si="2"/>
        <v>5410.4095337962999</v>
      </c>
      <c r="Y26" s="8">
        <f t="shared" si="2"/>
        <v>5383.3574861273182</v>
      </c>
      <c r="Z26" s="8">
        <f t="shared" si="2"/>
        <v>5356.4406986966815</v>
      </c>
      <c r="AA26" s="8">
        <f t="shared" si="2"/>
        <v>5329.6584952031981</v>
      </c>
      <c r="AB26" s="8">
        <f t="shared" si="2"/>
        <v>5303.0102027271823</v>
      </c>
      <c r="AC26" s="8">
        <f t="shared" si="2"/>
        <v>5276.495151713546</v>
      </c>
      <c r="AD26" s="8">
        <f t="shared" si="2"/>
        <v>5250.1126759549779</v>
      </c>
      <c r="AE26" s="8">
        <f t="shared" si="2"/>
        <v>5223.8621125752034</v>
      </c>
      <c r="AF26" s="8">
        <f t="shared" si="2"/>
        <v>5197.742802012327</v>
      </c>
      <c r="AG26" s="8">
        <f t="shared" si="2"/>
        <v>5171.7540880022652</v>
      </c>
    </row>
    <row r="27" spans="1:33" s="8" customFormat="1" x14ac:dyDescent="0.2">
      <c r="A27" s="8" t="s">
        <v>27</v>
      </c>
      <c r="D27" s="8">
        <f>(1-$C$17/100)*D26</f>
        <v>5999.0147999999999</v>
      </c>
      <c r="E27" s="8">
        <f t="shared" ref="E27:AG27" si="3">(1-$C$17/100)*E26</f>
        <v>5951.0226815999995</v>
      </c>
      <c r="F27" s="8">
        <f t="shared" si="3"/>
        <v>5921.2675681919991</v>
      </c>
      <c r="G27" s="8">
        <f t="shared" si="3"/>
        <v>5891.6612303510392</v>
      </c>
      <c r="H27" s="8">
        <f t="shared" si="3"/>
        <v>5862.2029241992841</v>
      </c>
      <c r="I27" s="8">
        <f t="shared" si="3"/>
        <v>5832.8919095782876</v>
      </c>
      <c r="J27" s="8">
        <f t="shared" si="3"/>
        <v>5803.7274500303965</v>
      </c>
      <c r="K27" s="8">
        <f t="shared" si="3"/>
        <v>5774.7088127802444</v>
      </c>
      <c r="L27" s="8">
        <f t="shared" si="3"/>
        <v>5745.8352687163433</v>
      </c>
      <c r="M27" s="8">
        <f t="shared" si="3"/>
        <v>5717.1060923727619</v>
      </c>
      <c r="N27" s="8">
        <f t="shared" si="3"/>
        <v>5688.5205619108983</v>
      </c>
      <c r="O27" s="8">
        <f t="shared" si="3"/>
        <v>5660.0779591013434</v>
      </c>
      <c r="P27" s="8">
        <f t="shared" si="3"/>
        <v>5631.7775693058366</v>
      </c>
      <c r="Q27" s="8">
        <f t="shared" si="3"/>
        <v>5603.6186814593075</v>
      </c>
      <c r="R27" s="8">
        <f t="shared" si="3"/>
        <v>5575.6005880520106</v>
      </c>
      <c r="S27" s="8">
        <f t="shared" si="3"/>
        <v>5547.722585111751</v>
      </c>
      <c r="T27" s="8">
        <f t="shared" si="3"/>
        <v>5519.9839721861917</v>
      </c>
      <c r="U27" s="8">
        <f t="shared" si="3"/>
        <v>5492.3840523252611</v>
      </c>
      <c r="V27" s="8">
        <f t="shared" si="3"/>
        <v>5464.9221320636352</v>
      </c>
      <c r="W27" s="8">
        <f t="shared" si="3"/>
        <v>5437.5975214033169</v>
      </c>
      <c r="X27" s="8">
        <f t="shared" si="3"/>
        <v>5410.4095337962999</v>
      </c>
      <c r="Y27" s="8">
        <f t="shared" si="3"/>
        <v>5383.3574861273182</v>
      </c>
      <c r="Z27" s="8">
        <f t="shared" si="3"/>
        <v>5356.4406986966815</v>
      </c>
      <c r="AA27" s="8">
        <f t="shared" si="3"/>
        <v>5329.6584952031981</v>
      </c>
      <c r="AB27" s="8">
        <f t="shared" si="3"/>
        <v>5303.0102027271823</v>
      </c>
      <c r="AC27" s="8">
        <f t="shared" si="3"/>
        <v>5276.495151713546</v>
      </c>
      <c r="AD27" s="8">
        <f t="shared" si="3"/>
        <v>5250.1126759549779</v>
      </c>
      <c r="AE27" s="8">
        <f t="shared" si="3"/>
        <v>5223.8621125752034</v>
      </c>
      <c r="AF27" s="8">
        <f t="shared" si="3"/>
        <v>5197.742802012327</v>
      </c>
      <c r="AG27" s="8">
        <f t="shared" si="3"/>
        <v>5171.7540880022652</v>
      </c>
    </row>
    <row r="29" spans="1:33" x14ac:dyDescent="0.2">
      <c r="A29" t="s">
        <v>28</v>
      </c>
      <c r="D29" s="3">
        <f>C19</f>
        <v>150.77000000000001</v>
      </c>
      <c r="E29" s="3">
        <f>D29*(1+$C$20/100)</f>
        <v>153.78540000000001</v>
      </c>
      <c r="F29" s="3">
        <f t="shared" ref="F29:AG29" si="4">E29*(1+$C$20/100)</f>
        <v>156.861108</v>
      </c>
      <c r="G29" s="3">
        <f t="shared" si="4"/>
        <v>159.99833015999999</v>
      </c>
      <c r="H29" s="3">
        <f t="shared" si="4"/>
        <v>163.19829676320001</v>
      </c>
      <c r="I29" s="3">
        <f t="shared" si="4"/>
        <v>166.462262698464</v>
      </c>
      <c r="J29" s="3">
        <f t="shared" si="4"/>
        <v>169.79150795243328</v>
      </c>
      <c r="K29" s="3">
        <f t="shared" si="4"/>
        <v>173.18733811148195</v>
      </c>
      <c r="L29" s="3">
        <f t="shared" si="4"/>
        <v>176.6510848737116</v>
      </c>
      <c r="M29" s="3">
        <f t="shared" si="4"/>
        <v>180.18410657118582</v>
      </c>
      <c r="N29" s="3">
        <f t="shared" si="4"/>
        <v>183.78778870260953</v>
      </c>
      <c r="O29" s="3">
        <f t="shared" si="4"/>
        <v>187.46354447666172</v>
      </c>
      <c r="P29" s="3">
        <f t="shared" si="4"/>
        <v>191.21281536619497</v>
      </c>
      <c r="Q29" s="3">
        <f t="shared" si="4"/>
        <v>195.03707167351888</v>
      </c>
      <c r="R29" s="3">
        <f t="shared" si="4"/>
        <v>198.93781310698927</v>
      </c>
      <c r="S29" s="3">
        <f t="shared" si="4"/>
        <v>202.91656936912906</v>
      </c>
      <c r="T29" s="3">
        <f t="shared" si="4"/>
        <v>206.97490075651166</v>
      </c>
      <c r="U29" s="3">
        <f t="shared" si="4"/>
        <v>211.1143987716419</v>
      </c>
      <c r="V29" s="3">
        <f t="shared" si="4"/>
        <v>215.33668674707474</v>
      </c>
      <c r="W29" s="3">
        <f t="shared" si="4"/>
        <v>219.64342048201624</v>
      </c>
      <c r="X29" s="3">
        <f t="shared" si="4"/>
        <v>224.03628889165657</v>
      </c>
      <c r="Y29" s="3">
        <f t="shared" si="4"/>
        <v>228.5170146694897</v>
      </c>
      <c r="Z29" s="3">
        <f t="shared" si="4"/>
        <v>233.08735496287949</v>
      </c>
      <c r="AA29" s="3">
        <f t="shared" si="4"/>
        <v>237.74910206213707</v>
      </c>
      <c r="AB29" s="3">
        <f t="shared" si="4"/>
        <v>242.50408410337982</v>
      </c>
      <c r="AC29" s="3">
        <f t="shared" si="4"/>
        <v>247.35416578544744</v>
      </c>
      <c r="AD29" s="3">
        <f t="shared" si="4"/>
        <v>252.3012491011564</v>
      </c>
      <c r="AE29" s="3">
        <f t="shared" si="4"/>
        <v>257.34727408317951</v>
      </c>
      <c r="AF29" s="3">
        <f t="shared" si="4"/>
        <v>262.49421956484309</v>
      </c>
      <c r="AG29" s="3">
        <f t="shared" si="4"/>
        <v>267.74410395613995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904471.461396</v>
      </c>
      <c r="E33" s="3">
        <f t="shared" ref="E33:AG33" si="6">E29*E27</f>
        <v>915180.40349892864</v>
      </c>
      <c r="F33" s="3">
        <f t="shared" si="6"/>
        <v>928816.59151106258</v>
      </c>
      <c r="G33" s="3">
        <f t="shared" si="6"/>
        <v>942655.95872457733</v>
      </c>
      <c r="H33" s="3">
        <f t="shared" si="6"/>
        <v>956701.53250957362</v>
      </c>
      <c r="I33" s="3">
        <f t="shared" si="6"/>
        <v>970956.38534396619</v>
      </c>
      <c r="J33" s="3">
        <f t="shared" si="6"/>
        <v>985423.63548559137</v>
      </c>
      <c r="K33" s="3">
        <f t="shared" si="6"/>
        <v>1000106.4476543267</v>
      </c>
      <c r="L33" s="3">
        <f t="shared" si="6"/>
        <v>1015008.0337243762</v>
      </c>
      <c r="M33" s="3">
        <f t="shared" si="6"/>
        <v>1030131.6534268694</v>
      </c>
      <c r="N33" s="3">
        <f t="shared" si="6"/>
        <v>1045480.6150629298</v>
      </c>
      <c r="O33" s="3">
        <f t="shared" si="6"/>
        <v>1061058.2762273673</v>
      </c>
      <c r="P33" s="3">
        <f t="shared" si="6"/>
        <v>1076868.0445431552</v>
      </c>
      <c r="Q33" s="3">
        <f t="shared" si="6"/>
        <v>1092913.3784068483</v>
      </c>
      <c r="R33" s="3">
        <f t="shared" si="6"/>
        <v>1109197.7877451105</v>
      </c>
      <c r="S33" s="3">
        <f t="shared" si="6"/>
        <v>1125724.8347825126</v>
      </c>
      <c r="T33" s="3">
        <f t="shared" si="6"/>
        <v>1142498.1348207721</v>
      </c>
      <c r="U33" s="3">
        <f t="shared" si="6"/>
        <v>1159521.3570296017</v>
      </c>
      <c r="V33" s="3">
        <f t="shared" si="6"/>
        <v>1176798.2252493429</v>
      </c>
      <c r="W33" s="3">
        <f t="shared" si="6"/>
        <v>1194332.5188055581</v>
      </c>
      <c r="X33" s="3">
        <f t="shared" si="6"/>
        <v>1212128.0733357607</v>
      </c>
      <c r="Y33" s="3">
        <f t="shared" si="6"/>
        <v>1230188.7816284637</v>
      </c>
      <c r="Z33" s="3">
        <f t="shared" si="6"/>
        <v>1248518.5944747275</v>
      </c>
      <c r="AA33" s="3">
        <f t="shared" si="6"/>
        <v>1267121.521532401</v>
      </c>
      <c r="AB33" s="3">
        <f t="shared" si="6"/>
        <v>1286001.6322032339</v>
      </c>
      <c r="AC33" s="3">
        <f t="shared" si="6"/>
        <v>1305163.0565230621</v>
      </c>
      <c r="AD33" s="3">
        <f t="shared" si="6"/>
        <v>1324609.9860652557</v>
      </c>
      <c r="AE33" s="3">
        <f t="shared" si="6"/>
        <v>1344346.6748576281</v>
      </c>
      <c r="AF33" s="3">
        <f t="shared" si="6"/>
        <v>1364377.4403130065</v>
      </c>
      <c r="AG33" s="3">
        <f t="shared" si="6"/>
        <v>1384706.6641736703</v>
      </c>
    </row>
    <row r="34" spans="1:33" x14ac:dyDescent="0.2">
      <c r="A34" t="s">
        <v>32</v>
      </c>
      <c r="D34" s="3">
        <f>-C6</f>
        <v>-100000</v>
      </c>
      <c r="E34" s="3">
        <f>$D$34*E24</f>
        <v>-103099.99999999999</v>
      </c>
      <c r="F34" s="3">
        <f t="shared" ref="F34:AG34" si="7">$D$34*F24</f>
        <v>-106296.09999999998</v>
      </c>
      <c r="G34" s="3">
        <f t="shared" si="7"/>
        <v>-109591.27909999997</v>
      </c>
      <c r="H34" s="3">
        <f t="shared" si="7"/>
        <v>-112988.60875209997</v>
      </c>
      <c r="I34" s="3">
        <f t="shared" si="7"/>
        <v>-116491.25562341507</v>
      </c>
      <c r="J34" s="3">
        <f t="shared" si="7"/>
        <v>-120102.48454774093</v>
      </c>
      <c r="K34" s="3">
        <f t="shared" si="7"/>
        <v>-123825.66156872088</v>
      </c>
      <c r="L34" s="3">
        <f t="shared" si="7"/>
        <v>-127664.25707735123</v>
      </c>
      <c r="M34" s="3">
        <f t="shared" si="7"/>
        <v>-131621.84904674909</v>
      </c>
      <c r="N34" s="3">
        <f t="shared" si="7"/>
        <v>-135702.1263671983</v>
      </c>
      <c r="O34" s="3">
        <f t="shared" si="7"/>
        <v>-139908.89228458147</v>
      </c>
      <c r="P34" s="3">
        <f t="shared" si="7"/>
        <v>-144246.06794540348</v>
      </c>
      <c r="Q34" s="3">
        <f t="shared" si="7"/>
        <v>-148717.69605171098</v>
      </c>
      <c r="R34" s="3">
        <f t="shared" si="7"/>
        <v>-153327.94462931401</v>
      </c>
      <c r="S34" s="3">
        <f t="shared" si="7"/>
        <v>-158081.11091282274</v>
      </c>
      <c r="T34" s="3">
        <f t="shared" si="7"/>
        <v>-162981.62535112025</v>
      </c>
      <c r="U34" s="3">
        <f t="shared" si="7"/>
        <v>-168034.05573700496</v>
      </c>
      <c r="V34" s="3">
        <f t="shared" si="7"/>
        <v>-173243.11146485209</v>
      </c>
      <c r="W34" s="3">
        <f t="shared" si="7"/>
        <v>-178613.64792026248</v>
      </c>
      <c r="X34" s="3">
        <f t="shared" si="7"/>
        <v>-184150.67100579065</v>
      </c>
      <c r="Y34" s="3">
        <f t="shared" si="7"/>
        <v>-189859.34180697013</v>
      </c>
      <c r="Z34" s="3">
        <f t="shared" si="7"/>
        <v>-195744.98140298619</v>
      </c>
      <c r="AA34" s="3">
        <f t="shared" si="7"/>
        <v>-201813.07582647877</v>
      </c>
      <c r="AB34" s="3">
        <f t="shared" si="7"/>
        <v>-208069.28117709956</v>
      </c>
      <c r="AC34" s="3">
        <f t="shared" si="7"/>
        <v>-214519.42889358965</v>
      </c>
      <c r="AD34" s="3">
        <f t="shared" si="7"/>
        <v>-221169.53118929089</v>
      </c>
      <c r="AE34" s="3">
        <f t="shared" si="7"/>
        <v>-228025.78665615895</v>
      </c>
      <c r="AF34" s="3">
        <f t="shared" si="7"/>
        <v>-235094.58604249987</v>
      </c>
      <c r="AG34" s="3">
        <f t="shared" si="7"/>
        <v>-242382.51820981732</v>
      </c>
    </row>
    <row r="35" spans="1:33" x14ac:dyDescent="0.2">
      <c r="A35" t="s">
        <v>33</v>
      </c>
      <c r="D35" s="3">
        <f>D33+D34</f>
        <v>804471.461396</v>
      </c>
      <c r="E35" s="3">
        <f t="shared" ref="E35:AG35" si="8">E33+E34</f>
        <v>812080.40349892864</v>
      </c>
      <c r="F35" s="3">
        <f t="shared" si="8"/>
        <v>822520.4915110626</v>
      </c>
      <c r="G35" s="3">
        <f t="shared" si="8"/>
        <v>833064.6796245774</v>
      </c>
      <c r="H35" s="3">
        <f t="shared" si="8"/>
        <v>843712.92375747371</v>
      </c>
      <c r="I35" s="3">
        <f t="shared" si="8"/>
        <v>854465.12972055108</v>
      </c>
      <c r="J35" s="3">
        <f t="shared" si="8"/>
        <v>865321.15093785047</v>
      </c>
      <c r="K35" s="3">
        <f t="shared" si="8"/>
        <v>876280.78608560585</v>
      </c>
      <c r="L35" s="3">
        <f t="shared" si="8"/>
        <v>887343.77664702502</v>
      </c>
      <c r="M35" s="3">
        <f t="shared" si="8"/>
        <v>898509.80438012036</v>
      </c>
      <c r="N35" s="3">
        <f t="shared" si="8"/>
        <v>909778.4886957315</v>
      </c>
      <c r="O35" s="3">
        <f t="shared" si="8"/>
        <v>921149.38394278591</v>
      </c>
      <c r="P35" s="3">
        <f t="shared" si="8"/>
        <v>932621.97659775172</v>
      </c>
      <c r="Q35" s="3">
        <f t="shared" si="8"/>
        <v>944195.68235513731</v>
      </c>
      <c r="R35" s="3">
        <f t="shared" si="8"/>
        <v>955869.84311579645</v>
      </c>
      <c r="S35" s="3">
        <f t="shared" si="8"/>
        <v>967643.72386968986</v>
      </c>
      <c r="T35" s="3">
        <f t="shared" si="8"/>
        <v>979516.50946965185</v>
      </c>
      <c r="U35" s="3">
        <f t="shared" si="8"/>
        <v>991487.30129259673</v>
      </c>
      <c r="V35" s="3">
        <f t="shared" si="8"/>
        <v>1003555.1137844907</v>
      </c>
      <c r="W35" s="3">
        <f t="shared" si="8"/>
        <v>1015718.8708852956</v>
      </c>
      <c r="X35" s="3">
        <f t="shared" si="8"/>
        <v>1027977.4023299702</v>
      </c>
      <c r="Y35" s="3">
        <f t="shared" si="8"/>
        <v>1040329.4398214936</v>
      </c>
      <c r="Z35" s="3">
        <f t="shared" si="8"/>
        <v>1052773.6130717413</v>
      </c>
      <c r="AA35" s="3">
        <f t="shared" si="8"/>
        <v>1065308.4457059223</v>
      </c>
      <c r="AB35" s="3">
        <f t="shared" si="8"/>
        <v>1077932.3510261343</v>
      </c>
      <c r="AC35" s="3">
        <f t="shared" si="8"/>
        <v>1090643.6276294724</v>
      </c>
      <c r="AD35" s="3">
        <f t="shared" si="8"/>
        <v>1103440.4548759649</v>
      </c>
      <c r="AE35" s="3">
        <f t="shared" si="8"/>
        <v>1116320.8882014691</v>
      </c>
      <c r="AF35" s="3">
        <f t="shared" si="8"/>
        <v>1129282.8542705067</v>
      </c>
      <c r="AG35" s="3">
        <f t="shared" si="8"/>
        <v>1142324.145963853</v>
      </c>
    </row>
    <row r="37" spans="1:33" x14ac:dyDescent="0.2">
      <c r="A37" t="s">
        <v>34</v>
      </c>
      <c r="C37" s="3">
        <f>-C5</f>
        <v>-9200000</v>
      </c>
    </row>
    <row r="39" spans="1:33" x14ac:dyDescent="0.2">
      <c r="A39" t="s">
        <v>45</v>
      </c>
      <c r="C39" s="3">
        <f>C37+C35</f>
        <v>-9200000</v>
      </c>
      <c r="D39" s="3">
        <f t="shared" ref="D39:AG39" si="9">D37+D35</f>
        <v>804471.461396</v>
      </c>
      <c r="E39" s="3">
        <f t="shared" si="9"/>
        <v>812080.40349892864</v>
      </c>
      <c r="F39" s="3">
        <f t="shared" si="9"/>
        <v>822520.4915110626</v>
      </c>
      <c r="G39" s="3">
        <f t="shared" si="9"/>
        <v>833064.6796245774</v>
      </c>
      <c r="H39" s="3">
        <f t="shared" si="9"/>
        <v>843712.92375747371</v>
      </c>
      <c r="I39" s="3">
        <f t="shared" si="9"/>
        <v>854465.12972055108</v>
      </c>
      <c r="J39" s="3">
        <f t="shared" si="9"/>
        <v>865321.15093785047</v>
      </c>
      <c r="K39" s="3">
        <f t="shared" si="9"/>
        <v>876280.78608560585</v>
      </c>
      <c r="L39" s="3">
        <f t="shared" si="9"/>
        <v>887343.77664702502</v>
      </c>
      <c r="M39" s="3">
        <f t="shared" si="9"/>
        <v>898509.80438012036</v>
      </c>
      <c r="N39" s="3">
        <f t="shared" si="9"/>
        <v>909778.4886957315</v>
      </c>
      <c r="O39" s="3">
        <f t="shared" si="9"/>
        <v>921149.38394278591</v>
      </c>
      <c r="P39" s="3">
        <f t="shared" si="9"/>
        <v>932621.97659775172</v>
      </c>
      <c r="Q39" s="3">
        <f t="shared" si="9"/>
        <v>944195.68235513731</v>
      </c>
      <c r="R39" s="3">
        <f t="shared" si="9"/>
        <v>955869.84311579645</v>
      </c>
      <c r="S39" s="3">
        <f t="shared" si="9"/>
        <v>967643.72386968986</v>
      </c>
      <c r="T39" s="3">
        <f t="shared" si="9"/>
        <v>979516.50946965185</v>
      </c>
      <c r="U39" s="3">
        <f t="shared" si="9"/>
        <v>991487.30129259673</v>
      </c>
      <c r="V39" s="3">
        <f t="shared" si="9"/>
        <v>1003555.1137844907</v>
      </c>
      <c r="W39" s="3">
        <f t="shared" si="9"/>
        <v>1015718.8708852956</v>
      </c>
      <c r="X39" s="3">
        <f t="shared" si="9"/>
        <v>1027977.4023299702</v>
      </c>
      <c r="Y39" s="3">
        <f t="shared" si="9"/>
        <v>1040329.4398214936</v>
      </c>
      <c r="Z39" s="3">
        <f t="shared" si="9"/>
        <v>1052773.6130717413</v>
      </c>
      <c r="AA39" s="3">
        <f t="shared" si="9"/>
        <v>1065308.4457059223</v>
      </c>
      <c r="AB39" s="3">
        <f t="shared" si="9"/>
        <v>1077932.3510261343</v>
      </c>
      <c r="AC39" s="3">
        <f t="shared" si="9"/>
        <v>1090643.6276294724</v>
      </c>
      <c r="AD39" s="3">
        <f t="shared" si="9"/>
        <v>1103440.4548759649</v>
      </c>
      <c r="AE39" s="3">
        <f t="shared" si="9"/>
        <v>1116320.8882014691</v>
      </c>
      <c r="AF39" s="3">
        <f t="shared" si="9"/>
        <v>1129282.8542705067</v>
      </c>
      <c r="AG39" s="3">
        <f t="shared" si="9"/>
        <v>1142324.145963853</v>
      </c>
    </row>
    <row r="40" spans="1:33" x14ac:dyDescent="0.2">
      <c r="A40" s="1" t="s">
        <v>35</v>
      </c>
      <c r="B40" s="1"/>
      <c r="C40" s="12">
        <f>NPV(C10/100,C39:AG39)</f>
        <v>1958169.3769141799</v>
      </c>
    </row>
    <row r="41" spans="1:33" x14ac:dyDescent="0.2">
      <c r="A41" s="1" t="s">
        <v>36</v>
      </c>
      <c r="B41" s="1"/>
      <c r="C41" s="21">
        <f>IRR(C39:AG39)</f>
        <v>9.0270182906059926E-2</v>
      </c>
    </row>
    <row r="43" spans="1:33" x14ac:dyDescent="0.2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C44" s="11"/>
    </row>
    <row r="45" spans="1:33" x14ac:dyDescent="0.2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x14ac:dyDescent="0.2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s="3" customFormat="1" x14ac:dyDescent="0.2"/>
    <row r="48" spans="1:33" x14ac:dyDescent="0.2"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50" spans="1:33" x14ac:dyDescent="0.2">
      <c r="C50" s="3"/>
    </row>
    <row r="51" spans="1:33" x14ac:dyDescent="0.2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x14ac:dyDescent="0.2">
      <c r="A52" s="1"/>
      <c r="B52" s="1"/>
      <c r="C52" s="12"/>
    </row>
    <row r="53" spans="1:33" x14ac:dyDescent="0.2">
      <c r="A53" s="1"/>
      <c r="B53" s="1"/>
      <c r="C53" s="15"/>
    </row>
    <row r="55" spans="1:33" x14ac:dyDescent="0.2">
      <c r="C55" s="11"/>
    </row>
    <row r="56" spans="1:33" x14ac:dyDescent="0.2">
      <c r="C56" s="3"/>
    </row>
    <row r="57" spans="1:33" x14ac:dyDescent="0.2">
      <c r="A57" s="1"/>
      <c r="B57" s="1"/>
      <c r="C57" s="13"/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5DDC6-1D91-4931-A931-4EDCD72EC4EE}">
  <dimension ref="A1:AG44"/>
  <sheetViews>
    <sheetView topLeftCell="A31" zoomScale="103" zoomScaleNormal="110" workbookViewId="0">
      <selection activeCell="C47" sqref="C47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(5*1000000*H4)</f>
        <v>8560000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8560000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5*1000000*J4</f>
        <v>65000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19">
        <f>+[2]Parameters!E10</f>
        <v>6310.5659999999998</v>
      </c>
      <c r="D13" t="s">
        <v>54</v>
      </c>
      <c r="E13" t="s">
        <v>86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5679.5093999999999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3">
        <f>+[2]Parameters!F10</f>
        <v>152.38999999999999</v>
      </c>
      <c r="D19" t="s">
        <v>19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5679.5093999999999</v>
      </c>
      <c r="E26" s="8">
        <f>D26*(1-C15/100)</f>
        <v>5634.0733247999997</v>
      </c>
      <c r="F26" s="8">
        <f>E26*(1-$C$16/100)</f>
        <v>5605.9029581759996</v>
      </c>
      <c r="G26" s="8">
        <f t="shared" ref="G26:AG26" si="2">F26*(1-$C$16/100)</f>
        <v>5577.8734433851196</v>
      </c>
      <c r="H26" s="8">
        <f t="shared" si="2"/>
        <v>5549.9840761681935</v>
      </c>
      <c r="I26" s="8">
        <f t="shared" si="2"/>
        <v>5522.2341557873524</v>
      </c>
      <c r="J26" s="8">
        <f t="shared" si="2"/>
        <v>5494.6229850084155</v>
      </c>
      <c r="K26" s="8">
        <f t="shared" si="2"/>
        <v>5467.1498700833736</v>
      </c>
      <c r="L26" s="8">
        <f t="shared" si="2"/>
        <v>5439.8141207329563</v>
      </c>
      <c r="M26" s="8">
        <f t="shared" si="2"/>
        <v>5412.6150501292914</v>
      </c>
      <c r="N26" s="8">
        <f t="shared" si="2"/>
        <v>5385.5519748786446</v>
      </c>
      <c r="O26" s="8">
        <f t="shared" si="2"/>
        <v>5358.6242150042517</v>
      </c>
      <c r="P26" s="8">
        <f t="shared" si="2"/>
        <v>5331.8310939292305</v>
      </c>
      <c r="Q26" s="8">
        <f t="shared" si="2"/>
        <v>5305.1719384595845</v>
      </c>
      <c r="R26" s="8">
        <f t="shared" si="2"/>
        <v>5278.6460787672868</v>
      </c>
      <c r="S26" s="8">
        <f t="shared" si="2"/>
        <v>5252.2528483734504</v>
      </c>
      <c r="T26" s="8">
        <f t="shared" si="2"/>
        <v>5225.9915841315833</v>
      </c>
      <c r="U26" s="8">
        <f t="shared" si="2"/>
        <v>5199.8616262109254</v>
      </c>
      <c r="V26" s="8">
        <f t="shared" si="2"/>
        <v>5173.8623180798704</v>
      </c>
      <c r="W26" s="8">
        <f t="shared" si="2"/>
        <v>5147.9930064894706</v>
      </c>
      <c r="X26" s="8">
        <f t="shared" si="2"/>
        <v>5122.2530414570228</v>
      </c>
      <c r="Y26" s="8">
        <f t="shared" si="2"/>
        <v>5096.6417762497376</v>
      </c>
      <c r="Z26" s="8">
        <f t="shared" si="2"/>
        <v>5071.1585673684885</v>
      </c>
      <c r="AA26" s="8">
        <f t="shared" si="2"/>
        <v>5045.8027745316458</v>
      </c>
      <c r="AB26" s="8">
        <f t="shared" si="2"/>
        <v>5020.5737606589873</v>
      </c>
      <c r="AC26" s="8">
        <f t="shared" si="2"/>
        <v>4995.4708918556926</v>
      </c>
      <c r="AD26" s="8">
        <f t="shared" si="2"/>
        <v>4970.4935373964145</v>
      </c>
      <c r="AE26" s="8">
        <f t="shared" si="2"/>
        <v>4945.6410697094325</v>
      </c>
      <c r="AF26" s="8">
        <f t="shared" si="2"/>
        <v>4920.9128643608856</v>
      </c>
      <c r="AG26" s="8">
        <f t="shared" si="2"/>
        <v>4896.3083000390807</v>
      </c>
    </row>
    <row r="27" spans="1:33" s="8" customFormat="1" x14ac:dyDescent="0.2">
      <c r="A27" s="8" t="s">
        <v>27</v>
      </c>
      <c r="D27" s="8">
        <f>(1-$C$17/100)*D26</f>
        <v>5679.5093999999999</v>
      </c>
      <c r="E27" s="8">
        <f t="shared" ref="E27:AG27" si="3">(1-$C$17/100)*E26</f>
        <v>5634.0733247999997</v>
      </c>
      <c r="F27" s="8">
        <f t="shared" si="3"/>
        <v>5605.9029581759996</v>
      </c>
      <c r="G27" s="8">
        <f t="shared" si="3"/>
        <v>5577.8734433851196</v>
      </c>
      <c r="H27" s="8">
        <f t="shared" si="3"/>
        <v>5549.9840761681935</v>
      </c>
      <c r="I27" s="8">
        <f t="shared" si="3"/>
        <v>5522.2341557873524</v>
      </c>
      <c r="J27" s="8">
        <f t="shared" si="3"/>
        <v>5494.6229850084155</v>
      </c>
      <c r="K27" s="8">
        <f t="shared" si="3"/>
        <v>5467.1498700833736</v>
      </c>
      <c r="L27" s="8">
        <f t="shared" si="3"/>
        <v>5439.8141207329563</v>
      </c>
      <c r="M27" s="8">
        <f t="shared" si="3"/>
        <v>5412.6150501292914</v>
      </c>
      <c r="N27" s="8">
        <f t="shared" si="3"/>
        <v>5385.5519748786446</v>
      </c>
      <c r="O27" s="8">
        <f t="shared" si="3"/>
        <v>5358.6242150042517</v>
      </c>
      <c r="P27" s="8">
        <f t="shared" si="3"/>
        <v>5331.8310939292305</v>
      </c>
      <c r="Q27" s="8">
        <f t="shared" si="3"/>
        <v>5305.1719384595845</v>
      </c>
      <c r="R27" s="8">
        <f t="shared" si="3"/>
        <v>5278.6460787672868</v>
      </c>
      <c r="S27" s="8">
        <f t="shared" si="3"/>
        <v>5252.2528483734504</v>
      </c>
      <c r="T27" s="8">
        <f t="shared" si="3"/>
        <v>5225.9915841315833</v>
      </c>
      <c r="U27" s="8">
        <f t="shared" si="3"/>
        <v>5199.8616262109254</v>
      </c>
      <c r="V27" s="8">
        <f t="shared" si="3"/>
        <v>5173.8623180798704</v>
      </c>
      <c r="W27" s="8">
        <f t="shared" si="3"/>
        <v>5147.9930064894706</v>
      </c>
      <c r="X27" s="8">
        <f t="shared" si="3"/>
        <v>5122.2530414570228</v>
      </c>
      <c r="Y27" s="8">
        <f t="shared" si="3"/>
        <v>5096.6417762497376</v>
      </c>
      <c r="Z27" s="8">
        <f t="shared" si="3"/>
        <v>5071.1585673684885</v>
      </c>
      <c r="AA27" s="8">
        <f t="shared" si="3"/>
        <v>5045.8027745316458</v>
      </c>
      <c r="AB27" s="8">
        <f t="shared" si="3"/>
        <v>5020.5737606589873</v>
      </c>
      <c r="AC27" s="8">
        <f t="shared" si="3"/>
        <v>4995.4708918556926</v>
      </c>
      <c r="AD27" s="8">
        <f t="shared" si="3"/>
        <v>4970.4935373964145</v>
      </c>
      <c r="AE27" s="8">
        <f t="shared" si="3"/>
        <v>4945.6410697094325</v>
      </c>
      <c r="AF27" s="8">
        <f t="shared" si="3"/>
        <v>4920.9128643608856</v>
      </c>
      <c r="AG27" s="8">
        <f t="shared" si="3"/>
        <v>4896.3083000390807</v>
      </c>
    </row>
    <row r="29" spans="1:33" x14ac:dyDescent="0.2">
      <c r="A29" t="s">
        <v>28</v>
      </c>
      <c r="D29" s="3">
        <f>C19</f>
        <v>152.38999999999999</v>
      </c>
      <c r="E29" s="3">
        <f>D29*(1+$C$20/100)</f>
        <v>155.43779999999998</v>
      </c>
      <c r="F29" s="3">
        <f t="shared" ref="F29:AG29" si="4">E29*(1+$C$20/100)</f>
        <v>158.54655599999998</v>
      </c>
      <c r="G29" s="3">
        <f t="shared" si="4"/>
        <v>161.71748711999999</v>
      </c>
      <c r="H29" s="3">
        <f t="shared" si="4"/>
        <v>164.9518368624</v>
      </c>
      <c r="I29" s="3">
        <f t="shared" si="4"/>
        <v>168.250873599648</v>
      </c>
      <c r="J29" s="3">
        <f t="shared" si="4"/>
        <v>171.61589107164096</v>
      </c>
      <c r="K29" s="3">
        <f t="shared" si="4"/>
        <v>175.04820889307379</v>
      </c>
      <c r="L29" s="3">
        <f t="shared" si="4"/>
        <v>178.54917307093527</v>
      </c>
      <c r="M29" s="3">
        <f t="shared" si="4"/>
        <v>182.12015653235397</v>
      </c>
      <c r="N29" s="3">
        <f t="shared" si="4"/>
        <v>185.76255966300107</v>
      </c>
      <c r="O29" s="3">
        <f t="shared" si="4"/>
        <v>189.4778108562611</v>
      </c>
      <c r="P29" s="3">
        <f t="shared" si="4"/>
        <v>193.26736707338634</v>
      </c>
      <c r="Q29" s="3">
        <f t="shared" si="4"/>
        <v>197.13271441485406</v>
      </c>
      <c r="R29" s="3">
        <f t="shared" si="4"/>
        <v>201.07536870315116</v>
      </c>
      <c r="S29" s="3">
        <f t="shared" si="4"/>
        <v>205.09687607721418</v>
      </c>
      <c r="T29" s="3">
        <f t="shared" si="4"/>
        <v>209.19881359875848</v>
      </c>
      <c r="U29" s="3">
        <f t="shared" si="4"/>
        <v>213.38278987073366</v>
      </c>
      <c r="V29" s="3">
        <f t="shared" si="4"/>
        <v>217.65044566814834</v>
      </c>
      <c r="W29" s="3">
        <f t="shared" si="4"/>
        <v>222.00345458151131</v>
      </c>
      <c r="X29" s="3">
        <f t="shared" si="4"/>
        <v>226.44352367314153</v>
      </c>
      <c r="Y29" s="3">
        <f t="shared" si="4"/>
        <v>230.97239414660436</v>
      </c>
      <c r="Z29" s="3">
        <f t="shared" si="4"/>
        <v>235.59184202953645</v>
      </c>
      <c r="AA29" s="3">
        <f t="shared" si="4"/>
        <v>240.30367887012719</v>
      </c>
      <c r="AB29" s="3">
        <f t="shared" si="4"/>
        <v>245.10975244752973</v>
      </c>
      <c r="AC29" s="3">
        <f t="shared" si="4"/>
        <v>250.01194749648033</v>
      </c>
      <c r="AD29" s="3">
        <f t="shared" si="4"/>
        <v>255.01218644640994</v>
      </c>
      <c r="AE29" s="3">
        <f t="shared" si="4"/>
        <v>260.11243017533815</v>
      </c>
      <c r="AF29" s="3">
        <f t="shared" si="4"/>
        <v>265.31467877884489</v>
      </c>
      <c r="AG29" s="3">
        <f t="shared" si="4"/>
        <v>270.62097235442178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865500.43746599986</v>
      </c>
      <c r="E33" s="3">
        <f t="shared" ref="E33:AG33" si="6">E29*E27</f>
        <v>875747.96264559729</v>
      </c>
      <c r="F33" s="3">
        <f t="shared" si="6"/>
        <v>888796.60728901671</v>
      </c>
      <c r="G33" s="3">
        <f t="shared" si="6"/>
        <v>902039.67673762306</v>
      </c>
      <c r="H33" s="3">
        <f t="shared" si="6"/>
        <v>915480.06792101369</v>
      </c>
      <c r="I33" s="3">
        <f t="shared" si="6"/>
        <v>929120.72093303676</v>
      </c>
      <c r="J33" s="3">
        <f t="shared" si="6"/>
        <v>942964.61967493896</v>
      </c>
      <c r="K33" s="3">
        <f t="shared" si="6"/>
        <v>957014.79250809562</v>
      </c>
      <c r="L33" s="3">
        <f t="shared" si="6"/>
        <v>971274.31291646615</v>
      </c>
      <c r="M33" s="3">
        <f t="shared" si="6"/>
        <v>985746.30017892155</v>
      </c>
      <c r="N33" s="3">
        <f t="shared" si="6"/>
        <v>1000433.9200515875</v>
      </c>
      <c r="O33" s="3">
        <f t="shared" si="6"/>
        <v>1015340.3854603563</v>
      </c>
      <c r="P33" s="3">
        <f t="shared" si="6"/>
        <v>1030468.9572037156</v>
      </c>
      <c r="Q33" s="3">
        <f t="shared" si="6"/>
        <v>1045822.944666051</v>
      </c>
      <c r="R33" s="3">
        <f t="shared" si="6"/>
        <v>1061405.7065415753</v>
      </c>
      <c r="S33" s="3">
        <f t="shared" si="6"/>
        <v>1077220.6515690447</v>
      </c>
      <c r="T33" s="3">
        <f t="shared" si="6"/>
        <v>1093271.2392774236</v>
      </c>
      <c r="U33" s="3">
        <f t="shared" si="6"/>
        <v>1109560.9807426573</v>
      </c>
      <c r="V33" s="3">
        <f t="shared" si="6"/>
        <v>1126093.4393557229</v>
      </c>
      <c r="W33" s="3">
        <f t="shared" si="6"/>
        <v>1142872.231602123</v>
      </c>
      <c r="X33" s="3">
        <f t="shared" si="6"/>
        <v>1159901.0278529946</v>
      </c>
      <c r="Y33" s="3">
        <f t="shared" si="6"/>
        <v>1177183.5531680041</v>
      </c>
      <c r="Z33" s="3">
        <f t="shared" si="6"/>
        <v>1194723.5881102073</v>
      </c>
      <c r="AA33" s="3">
        <f t="shared" si="6"/>
        <v>1212524.9695730493</v>
      </c>
      <c r="AB33" s="3">
        <f t="shared" si="6"/>
        <v>1230591.5916196879</v>
      </c>
      <c r="AC33" s="3">
        <f t="shared" si="6"/>
        <v>1248927.4063348211</v>
      </c>
      <c r="AD33" s="3">
        <f t="shared" si="6"/>
        <v>1267536.42468921</v>
      </c>
      <c r="AE33" s="3">
        <f t="shared" si="6"/>
        <v>1286422.7174170795</v>
      </c>
      <c r="AF33" s="3">
        <f t="shared" si="6"/>
        <v>1305590.4159065939</v>
      </c>
      <c r="AG33" s="3">
        <f t="shared" si="6"/>
        <v>1325043.7131036019</v>
      </c>
    </row>
    <row r="34" spans="1:33" x14ac:dyDescent="0.2">
      <c r="A34" t="s">
        <v>32</v>
      </c>
      <c r="D34" s="3">
        <f>-C6</f>
        <v>-65000</v>
      </c>
      <c r="E34" s="3">
        <f>$D$34*E24</f>
        <v>-67015</v>
      </c>
      <c r="F34" s="3">
        <f t="shared" ref="F34:AG34" si="7">$D$34*F24</f>
        <v>-69092.464999999982</v>
      </c>
      <c r="G34" s="3">
        <f t="shared" si="7"/>
        <v>-71234.331414999979</v>
      </c>
      <c r="H34" s="3">
        <f t="shared" si="7"/>
        <v>-73442.595688864982</v>
      </c>
      <c r="I34" s="3">
        <f t="shared" si="7"/>
        <v>-75719.3161552198</v>
      </c>
      <c r="J34" s="3">
        <f t="shared" si="7"/>
        <v>-78066.614956031597</v>
      </c>
      <c r="K34" s="3">
        <f t="shared" si="7"/>
        <v>-80486.680019668565</v>
      </c>
      <c r="L34" s="3">
        <f t="shared" si="7"/>
        <v>-82981.767100278303</v>
      </c>
      <c r="M34" s="3">
        <f t="shared" si="7"/>
        <v>-85554.201880386914</v>
      </c>
      <c r="N34" s="3">
        <f t="shared" si="7"/>
        <v>-88206.382138678906</v>
      </c>
      <c r="O34" s="3">
        <f t="shared" si="7"/>
        <v>-90940.77998497794</v>
      </c>
      <c r="P34" s="3">
        <f t="shared" si="7"/>
        <v>-93759.944164512272</v>
      </c>
      <c r="Q34" s="3">
        <f t="shared" si="7"/>
        <v>-96666.502433612142</v>
      </c>
      <c r="R34" s="3">
        <f t="shared" si="7"/>
        <v>-99663.164009054104</v>
      </c>
      <c r="S34" s="3">
        <f t="shared" si="7"/>
        <v>-102752.72209333477</v>
      </c>
      <c r="T34" s="3">
        <f t="shared" si="7"/>
        <v>-105938.05647822816</v>
      </c>
      <c r="U34" s="3">
        <f t="shared" si="7"/>
        <v>-109222.13622905323</v>
      </c>
      <c r="V34" s="3">
        <f t="shared" si="7"/>
        <v>-112608.02245215386</v>
      </c>
      <c r="W34" s="3">
        <f t="shared" si="7"/>
        <v>-116098.87114817061</v>
      </c>
      <c r="X34" s="3">
        <f t="shared" si="7"/>
        <v>-119697.93615376391</v>
      </c>
      <c r="Y34" s="3">
        <f t="shared" si="7"/>
        <v>-123408.57217453058</v>
      </c>
      <c r="Z34" s="3">
        <f t="shared" si="7"/>
        <v>-127234.23791194103</v>
      </c>
      <c r="AA34" s="3">
        <f t="shared" si="7"/>
        <v>-131178.49928721119</v>
      </c>
      <c r="AB34" s="3">
        <f t="shared" si="7"/>
        <v>-135245.03276511471</v>
      </c>
      <c r="AC34" s="3">
        <f t="shared" si="7"/>
        <v>-139437.62878083327</v>
      </c>
      <c r="AD34" s="3">
        <f t="shared" si="7"/>
        <v>-143760.19527303908</v>
      </c>
      <c r="AE34" s="3">
        <f t="shared" si="7"/>
        <v>-148216.7613265033</v>
      </c>
      <c r="AF34" s="3">
        <f t="shared" si="7"/>
        <v>-152811.48092762491</v>
      </c>
      <c r="AG34" s="3">
        <f t="shared" si="7"/>
        <v>-157548.63683638128</v>
      </c>
    </row>
    <row r="35" spans="1:33" x14ac:dyDescent="0.2">
      <c r="A35" t="s">
        <v>33</v>
      </c>
      <c r="D35" s="3">
        <f>D33+D34</f>
        <v>800500.43746599986</v>
      </c>
      <c r="E35" s="3">
        <f t="shared" ref="E35:AG35" si="8">E33+E34</f>
        <v>808732.96264559729</v>
      </c>
      <c r="F35" s="3">
        <f t="shared" si="8"/>
        <v>819704.14228901675</v>
      </c>
      <c r="G35" s="3">
        <f t="shared" si="8"/>
        <v>830805.34532262303</v>
      </c>
      <c r="H35" s="3">
        <f t="shared" si="8"/>
        <v>842037.47223214875</v>
      </c>
      <c r="I35" s="3">
        <f t="shared" si="8"/>
        <v>853401.40477781696</v>
      </c>
      <c r="J35" s="3">
        <f t="shared" si="8"/>
        <v>864898.00471890741</v>
      </c>
      <c r="K35" s="3">
        <f t="shared" si="8"/>
        <v>876528.11248842708</v>
      </c>
      <c r="L35" s="3">
        <f t="shared" si="8"/>
        <v>888292.54581618786</v>
      </c>
      <c r="M35" s="3">
        <f t="shared" si="8"/>
        <v>900192.09829853463</v>
      </c>
      <c r="N35" s="3">
        <f t="shared" si="8"/>
        <v>912227.53791290859</v>
      </c>
      <c r="O35" s="3">
        <f t="shared" si="8"/>
        <v>924399.60547537834</v>
      </c>
      <c r="P35" s="3">
        <f t="shared" si="8"/>
        <v>936709.01303920336</v>
      </c>
      <c r="Q35" s="3">
        <f t="shared" si="8"/>
        <v>949156.44223243883</v>
      </c>
      <c r="R35" s="3">
        <f t="shared" si="8"/>
        <v>961742.54253252118</v>
      </c>
      <c r="S35" s="3">
        <f t="shared" si="8"/>
        <v>974467.92947570991</v>
      </c>
      <c r="T35" s="3">
        <f t="shared" si="8"/>
        <v>987333.18279919541</v>
      </c>
      <c r="U35" s="3">
        <f t="shared" si="8"/>
        <v>1000338.8445136041</v>
      </c>
      <c r="V35" s="3">
        <f t="shared" si="8"/>
        <v>1013485.416903569</v>
      </c>
      <c r="W35" s="3">
        <f t="shared" si="8"/>
        <v>1026773.3604539523</v>
      </c>
      <c r="X35" s="3">
        <f t="shared" si="8"/>
        <v>1040203.0916992307</v>
      </c>
      <c r="Y35" s="3">
        <f t="shared" si="8"/>
        <v>1053774.9809934737</v>
      </c>
      <c r="Z35" s="3">
        <f t="shared" si="8"/>
        <v>1067489.3501982663</v>
      </c>
      <c r="AA35" s="3">
        <f t="shared" si="8"/>
        <v>1081346.4702858382</v>
      </c>
      <c r="AB35" s="3">
        <f t="shared" si="8"/>
        <v>1095346.5588545732</v>
      </c>
      <c r="AC35" s="3">
        <f t="shared" si="8"/>
        <v>1109489.7775539879</v>
      </c>
      <c r="AD35" s="3">
        <f t="shared" si="8"/>
        <v>1123776.2294161709</v>
      </c>
      <c r="AE35" s="3">
        <f t="shared" si="8"/>
        <v>1138205.9560905762</v>
      </c>
      <c r="AF35" s="3">
        <f t="shared" si="8"/>
        <v>1152778.9349789689</v>
      </c>
      <c r="AG35" s="3">
        <f t="shared" si="8"/>
        <v>1167495.0762672205</v>
      </c>
    </row>
    <row r="37" spans="1:33" x14ac:dyDescent="0.2">
      <c r="A37" t="s">
        <v>34</v>
      </c>
      <c r="C37" s="3">
        <f>-C5</f>
        <v>-8560000</v>
      </c>
    </row>
    <row r="39" spans="1:33" x14ac:dyDescent="0.2">
      <c r="A39" t="s">
        <v>45</v>
      </c>
      <c r="C39" s="3">
        <f>C37+C35</f>
        <v>-8560000</v>
      </c>
      <c r="D39" s="3">
        <f t="shared" ref="D39:AG39" si="9">D37+D35</f>
        <v>800500.43746599986</v>
      </c>
      <c r="E39" s="3">
        <f t="shared" si="9"/>
        <v>808732.96264559729</v>
      </c>
      <c r="F39" s="3">
        <f t="shared" si="9"/>
        <v>819704.14228901675</v>
      </c>
      <c r="G39" s="3">
        <f t="shared" si="9"/>
        <v>830805.34532262303</v>
      </c>
      <c r="H39" s="3">
        <f t="shared" si="9"/>
        <v>842037.47223214875</v>
      </c>
      <c r="I39" s="3">
        <f t="shared" si="9"/>
        <v>853401.40477781696</v>
      </c>
      <c r="J39" s="3">
        <f t="shared" si="9"/>
        <v>864898.00471890741</v>
      </c>
      <c r="K39" s="3">
        <f t="shared" si="9"/>
        <v>876528.11248842708</v>
      </c>
      <c r="L39" s="3">
        <f t="shared" si="9"/>
        <v>888292.54581618786</v>
      </c>
      <c r="M39" s="3">
        <f t="shared" si="9"/>
        <v>900192.09829853463</v>
      </c>
      <c r="N39" s="3">
        <f t="shared" si="9"/>
        <v>912227.53791290859</v>
      </c>
      <c r="O39" s="3">
        <f t="shared" si="9"/>
        <v>924399.60547537834</v>
      </c>
      <c r="P39" s="3">
        <f t="shared" si="9"/>
        <v>936709.01303920336</v>
      </c>
      <c r="Q39" s="3">
        <f t="shared" si="9"/>
        <v>949156.44223243883</v>
      </c>
      <c r="R39" s="3">
        <f t="shared" si="9"/>
        <v>961742.54253252118</v>
      </c>
      <c r="S39" s="3">
        <f t="shared" si="9"/>
        <v>974467.92947570991</v>
      </c>
      <c r="T39" s="3">
        <f t="shared" si="9"/>
        <v>987333.18279919541</v>
      </c>
      <c r="U39" s="3">
        <f t="shared" si="9"/>
        <v>1000338.8445136041</v>
      </c>
      <c r="V39" s="3">
        <f t="shared" si="9"/>
        <v>1013485.416903569</v>
      </c>
      <c r="W39" s="3">
        <f t="shared" si="9"/>
        <v>1026773.3604539523</v>
      </c>
      <c r="X39" s="3">
        <f t="shared" si="9"/>
        <v>1040203.0916992307</v>
      </c>
      <c r="Y39" s="3">
        <f t="shared" si="9"/>
        <v>1053774.9809934737</v>
      </c>
      <c r="Z39" s="3">
        <f t="shared" si="9"/>
        <v>1067489.3501982663</v>
      </c>
      <c r="AA39" s="3">
        <f t="shared" si="9"/>
        <v>1081346.4702858382</v>
      </c>
      <c r="AB39" s="3">
        <f t="shared" si="9"/>
        <v>1095346.5588545732</v>
      </c>
      <c r="AC39" s="3">
        <f t="shared" si="9"/>
        <v>1109489.7775539879</v>
      </c>
      <c r="AD39" s="3">
        <f t="shared" si="9"/>
        <v>1123776.2294161709</v>
      </c>
      <c r="AE39" s="3">
        <f t="shared" si="9"/>
        <v>1138205.9560905762</v>
      </c>
      <c r="AF39" s="3">
        <f t="shared" si="9"/>
        <v>1152778.9349789689</v>
      </c>
      <c r="AG39" s="3">
        <f t="shared" si="9"/>
        <v>1167495.0762672205</v>
      </c>
    </row>
    <row r="40" spans="1:33" x14ac:dyDescent="0.2">
      <c r="A40" s="1" t="s">
        <v>35</v>
      </c>
      <c r="B40" s="1"/>
      <c r="C40" s="12">
        <f>NPV(C10/100,C39:AG39)</f>
        <v>2595490.9628114454</v>
      </c>
    </row>
    <row r="41" spans="1:33" x14ac:dyDescent="0.2">
      <c r="A41" s="1" t="s">
        <v>36</v>
      </c>
      <c r="B41" s="1"/>
      <c r="C41" s="15">
        <f>IRR(C39:AG39)</f>
        <v>9.8298592568194509E-2</v>
      </c>
    </row>
    <row r="44" spans="1:33" x14ac:dyDescent="0.2">
      <c r="A44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7923-4218-4E0B-914C-A923E5CE16F3}">
  <dimension ref="A1:AG44"/>
  <sheetViews>
    <sheetView zoomScale="103" zoomScaleNormal="110" workbookViewId="0">
      <selection activeCell="C48" sqref="C48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(5*1000000*I4)</f>
        <v>9200000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9200000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5*1000000*K4</f>
        <v>100000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27">
        <f>+[3]Parameters!E13</f>
        <v>7286.2839999999997</v>
      </c>
      <c r="D13" t="s">
        <v>54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6557.6556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28">
        <f>+[3]Parameters!F13</f>
        <v>153.09</v>
      </c>
      <c r="D19" t="s">
        <v>19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6557.6556</v>
      </c>
      <c r="E26" s="8">
        <f>D26*(1-C15/100)</f>
        <v>6505.1943552000002</v>
      </c>
      <c r="F26" s="8">
        <f>E26*(1-$C$16/100)</f>
        <v>6472.6683834240002</v>
      </c>
      <c r="G26" s="8">
        <f t="shared" ref="G26:AG26" si="2">F26*(1-$C$16/100)</f>
        <v>6440.3050415068801</v>
      </c>
      <c r="H26" s="8">
        <f t="shared" si="2"/>
        <v>6408.1035162993458</v>
      </c>
      <c r="I26" s="8">
        <f t="shared" si="2"/>
        <v>6376.062998717849</v>
      </c>
      <c r="J26" s="8">
        <f t="shared" si="2"/>
        <v>6344.1826837242597</v>
      </c>
      <c r="K26" s="8">
        <f t="shared" si="2"/>
        <v>6312.4617703056383</v>
      </c>
      <c r="L26" s="8">
        <f t="shared" si="2"/>
        <v>6280.8994614541098</v>
      </c>
      <c r="M26" s="8">
        <f t="shared" si="2"/>
        <v>6249.4949641468393</v>
      </c>
      <c r="N26" s="8">
        <f t="shared" si="2"/>
        <v>6218.2474893261051</v>
      </c>
      <c r="O26" s="8">
        <f t="shared" si="2"/>
        <v>6187.1562518794744</v>
      </c>
      <c r="P26" s="8">
        <f t="shared" si="2"/>
        <v>6156.2204706200773</v>
      </c>
      <c r="Q26" s="8">
        <f t="shared" si="2"/>
        <v>6125.439368266977</v>
      </c>
      <c r="R26" s="8">
        <f t="shared" si="2"/>
        <v>6094.8121714256422</v>
      </c>
      <c r="S26" s="8">
        <f t="shared" si="2"/>
        <v>6064.3381105685139</v>
      </c>
      <c r="T26" s="8">
        <f t="shared" si="2"/>
        <v>6034.0164200156714</v>
      </c>
      <c r="U26" s="8">
        <f t="shared" si="2"/>
        <v>6003.8463379155928</v>
      </c>
      <c r="V26" s="8">
        <f t="shared" si="2"/>
        <v>5973.8271062260146</v>
      </c>
      <c r="W26" s="8">
        <f t="shared" si="2"/>
        <v>5943.9579706948844</v>
      </c>
      <c r="X26" s="8">
        <f t="shared" si="2"/>
        <v>5914.2381808414102</v>
      </c>
      <c r="Y26" s="8">
        <f t="shared" si="2"/>
        <v>5884.6669899372027</v>
      </c>
      <c r="Z26" s="8">
        <f t="shared" si="2"/>
        <v>5855.2436549875165</v>
      </c>
      <c r="AA26" s="8">
        <f t="shared" si="2"/>
        <v>5825.967436712579</v>
      </c>
      <c r="AB26" s="8">
        <f t="shared" si="2"/>
        <v>5796.8375995290162</v>
      </c>
      <c r="AC26" s="8">
        <f t="shared" si="2"/>
        <v>5767.8534115313714</v>
      </c>
      <c r="AD26" s="8">
        <f t="shared" si="2"/>
        <v>5739.0141444737146</v>
      </c>
      <c r="AE26" s="8">
        <f t="shared" si="2"/>
        <v>5710.319073751346</v>
      </c>
      <c r="AF26" s="8">
        <f t="shared" si="2"/>
        <v>5681.7674783825896</v>
      </c>
      <c r="AG26" s="8">
        <f t="shared" si="2"/>
        <v>5653.3586409906766</v>
      </c>
    </row>
    <row r="27" spans="1:33" s="8" customFormat="1" x14ac:dyDescent="0.2">
      <c r="A27" s="8" t="s">
        <v>27</v>
      </c>
      <c r="D27" s="8">
        <f>(1-$C$17/100)*D26</f>
        <v>6557.6556</v>
      </c>
      <c r="E27" s="8">
        <f t="shared" ref="E27:AG27" si="3">(1-$C$17/100)*E26</f>
        <v>6505.1943552000002</v>
      </c>
      <c r="F27" s="8">
        <f t="shared" si="3"/>
        <v>6472.6683834240002</v>
      </c>
      <c r="G27" s="8">
        <f t="shared" si="3"/>
        <v>6440.3050415068801</v>
      </c>
      <c r="H27" s="8">
        <f t="shared" si="3"/>
        <v>6408.1035162993458</v>
      </c>
      <c r="I27" s="8">
        <f t="shared" si="3"/>
        <v>6376.062998717849</v>
      </c>
      <c r="J27" s="8">
        <f t="shared" si="3"/>
        <v>6344.1826837242597</v>
      </c>
      <c r="K27" s="8">
        <f t="shared" si="3"/>
        <v>6312.4617703056383</v>
      </c>
      <c r="L27" s="8">
        <f t="shared" si="3"/>
        <v>6280.8994614541098</v>
      </c>
      <c r="M27" s="8">
        <f t="shared" si="3"/>
        <v>6249.4949641468393</v>
      </c>
      <c r="N27" s="8">
        <f t="shared" si="3"/>
        <v>6218.2474893261051</v>
      </c>
      <c r="O27" s="8">
        <f t="shared" si="3"/>
        <v>6187.1562518794744</v>
      </c>
      <c r="P27" s="8">
        <f t="shared" si="3"/>
        <v>6156.2204706200773</v>
      </c>
      <c r="Q27" s="8">
        <f t="shared" si="3"/>
        <v>6125.439368266977</v>
      </c>
      <c r="R27" s="8">
        <f t="shared" si="3"/>
        <v>6094.8121714256422</v>
      </c>
      <c r="S27" s="8">
        <f t="shared" si="3"/>
        <v>6064.3381105685139</v>
      </c>
      <c r="T27" s="8">
        <f t="shared" si="3"/>
        <v>6034.0164200156714</v>
      </c>
      <c r="U27" s="8">
        <f t="shared" si="3"/>
        <v>6003.8463379155928</v>
      </c>
      <c r="V27" s="8">
        <f t="shared" si="3"/>
        <v>5973.8271062260146</v>
      </c>
      <c r="W27" s="8">
        <f t="shared" si="3"/>
        <v>5943.9579706948844</v>
      </c>
      <c r="X27" s="8">
        <f t="shared" si="3"/>
        <v>5914.2381808414102</v>
      </c>
      <c r="Y27" s="8">
        <f t="shared" si="3"/>
        <v>5884.6669899372027</v>
      </c>
      <c r="Z27" s="8">
        <f t="shared" si="3"/>
        <v>5855.2436549875165</v>
      </c>
      <c r="AA27" s="8">
        <f t="shared" si="3"/>
        <v>5825.967436712579</v>
      </c>
      <c r="AB27" s="8">
        <f t="shared" si="3"/>
        <v>5796.8375995290162</v>
      </c>
      <c r="AC27" s="8">
        <f t="shared" si="3"/>
        <v>5767.8534115313714</v>
      </c>
      <c r="AD27" s="8">
        <f t="shared" si="3"/>
        <v>5739.0141444737146</v>
      </c>
      <c r="AE27" s="8">
        <f t="shared" si="3"/>
        <v>5710.319073751346</v>
      </c>
      <c r="AF27" s="8">
        <f t="shared" si="3"/>
        <v>5681.7674783825896</v>
      </c>
      <c r="AG27" s="8">
        <f t="shared" si="3"/>
        <v>5653.3586409906766</v>
      </c>
    </row>
    <row r="29" spans="1:33" x14ac:dyDescent="0.2">
      <c r="A29" t="s">
        <v>28</v>
      </c>
      <c r="D29" s="3">
        <f>C19</f>
        <v>153.09</v>
      </c>
      <c r="E29" s="3">
        <f>D29*(1+$C$20/100)</f>
        <v>156.15180000000001</v>
      </c>
      <c r="F29" s="3">
        <f t="shared" ref="F29:AG29" si="4">E29*(1+$C$20/100)</f>
        <v>159.27483600000002</v>
      </c>
      <c r="G29" s="3">
        <f t="shared" si="4"/>
        <v>162.46033272000003</v>
      </c>
      <c r="H29" s="3">
        <f t="shared" si="4"/>
        <v>165.70953937440004</v>
      </c>
      <c r="I29" s="3">
        <f t="shared" si="4"/>
        <v>169.02373016188804</v>
      </c>
      <c r="J29" s="3">
        <f t="shared" si="4"/>
        <v>172.4042047651258</v>
      </c>
      <c r="K29" s="3">
        <f t="shared" si="4"/>
        <v>175.8522888604283</v>
      </c>
      <c r="L29" s="3">
        <f t="shared" si="4"/>
        <v>179.36933463763688</v>
      </c>
      <c r="M29" s="3">
        <f t="shared" si="4"/>
        <v>182.95672133038963</v>
      </c>
      <c r="N29" s="3">
        <f t="shared" si="4"/>
        <v>186.61585575699743</v>
      </c>
      <c r="O29" s="3">
        <f t="shared" si="4"/>
        <v>190.34817287213738</v>
      </c>
      <c r="P29" s="3">
        <f t="shared" si="4"/>
        <v>194.15513632958013</v>
      </c>
      <c r="Q29" s="3">
        <f t="shared" si="4"/>
        <v>198.03823905617173</v>
      </c>
      <c r="R29" s="3">
        <f t="shared" si="4"/>
        <v>201.99900383729516</v>
      </c>
      <c r="S29" s="3">
        <f t="shared" si="4"/>
        <v>206.03898391404107</v>
      </c>
      <c r="T29" s="3">
        <f t="shared" si="4"/>
        <v>210.15976359232189</v>
      </c>
      <c r="U29" s="3">
        <f t="shared" si="4"/>
        <v>214.36295886416835</v>
      </c>
      <c r="V29" s="3">
        <f t="shared" si="4"/>
        <v>218.65021804145172</v>
      </c>
      <c r="W29" s="3">
        <f t="shared" si="4"/>
        <v>223.02322240228077</v>
      </c>
      <c r="X29" s="3">
        <f t="shared" si="4"/>
        <v>227.48368685032639</v>
      </c>
      <c r="Y29" s="3">
        <f t="shared" si="4"/>
        <v>232.03336058733294</v>
      </c>
      <c r="Z29" s="3">
        <f t="shared" si="4"/>
        <v>236.6740277990796</v>
      </c>
      <c r="AA29" s="3">
        <f t="shared" si="4"/>
        <v>241.4075083550612</v>
      </c>
      <c r="AB29" s="3">
        <f t="shared" si="4"/>
        <v>246.23565852216242</v>
      </c>
      <c r="AC29" s="3">
        <f t="shared" si="4"/>
        <v>251.16037169260568</v>
      </c>
      <c r="AD29" s="3">
        <f t="shared" si="4"/>
        <v>256.1835791264578</v>
      </c>
      <c r="AE29" s="3">
        <f t="shared" si="4"/>
        <v>261.30725070898694</v>
      </c>
      <c r="AF29" s="3">
        <f t="shared" si="4"/>
        <v>266.53339572316668</v>
      </c>
      <c r="AG29" s="3">
        <f t="shared" si="4"/>
        <v>271.86406363763001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1003911.4958040001</v>
      </c>
      <c r="E33" s="3">
        <f t="shared" ref="E33:AG33" si="6">E29*E27</f>
        <v>1015797.8079143194</v>
      </c>
      <c r="F33" s="3">
        <f t="shared" si="6"/>
        <v>1030933.1952522428</v>
      </c>
      <c r="G33" s="3">
        <f t="shared" si="6"/>
        <v>1046294.0998615014</v>
      </c>
      <c r="H33" s="3">
        <f t="shared" si="6"/>
        <v>1061883.8819494378</v>
      </c>
      <c r="I33" s="3">
        <f t="shared" si="6"/>
        <v>1077705.9517904844</v>
      </c>
      <c r="J33" s="3">
        <f t="shared" si="6"/>
        <v>1093763.7704721626</v>
      </c>
      <c r="K33" s="3">
        <f t="shared" si="6"/>
        <v>1110060.8506521976</v>
      </c>
      <c r="L33" s="3">
        <f t="shared" si="6"/>
        <v>1126600.7573269154</v>
      </c>
      <c r="M33" s="3">
        <f t="shared" si="6"/>
        <v>1143387.1086110866</v>
      </c>
      <c r="N33" s="3">
        <f t="shared" si="6"/>
        <v>1160423.5765293918</v>
      </c>
      <c r="O33" s="3">
        <f t="shared" si="6"/>
        <v>1177713.8878196797</v>
      </c>
      <c r="P33" s="3">
        <f t="shared" si="6"/>
        <v>1195261.8247481931</v>
      </c>
      <c r="Q33" s="3">
        <f t="shared" si="6"/>
        <v>1213071.2259369411</v>
      </c>
      <c r="R33" s="3">
        <f t="shared" si="6"/>
        <v>1231145.9872034015</v>
      </c>
      <c r="S33" s="3">
        <f t="shared" si="6"/>
        <v>1249490.0624127323</v>
      </c>
      <c r="T33" s="3">
        <f t="shared" si="6"/>
        <v>1268107.4643426819</v>
      </c>
      <c r="U33" s="3">
        <f t="shared" si="6"/>
        <v>1287002.2655613881</v>
      </c>
      <c r="V33" s="3">
        <f t="shared" si="6"/>
        <v>1306178.5993182526</v>
      </c>
      <c r="W33" s="3">
        <f t="shared" si="6"/>
        <v>1325640.6604480946</v>
      </c>
      <c r="X33" s="3">
        <f t="shared" si="6"/>
        <v>1345392.7062887715</v>
      </c>
      <c r="Y33" s="3">
        <f t="shared" si="6"/>
        <v>1365439.0576124741</v>
      </c>
      <c r="Z33" s="3">
        <f t="shared" si="6"/>
        <v>1385784.0995709</v>
      </c>
      <c r="AA33" s="3">
        <f t="shared" si="6"/>
        <v>1406432.2826545064</v>
      </c>
      <c r="AB33" s="3">
        <f t="shared" si="6"/>
        <v>1427388.1236660585</v>
      </c>
      <c r="AC33" s="3">
        <f t="shared" si="6"/>
        <v>1448656.2067086829</v>
      </c>
      <c r="AD33" s="3">
        <f t="shared" si="6"/>
        <v>1470241.1841886423</v>
      </c>
      <c r="AE33" s="3">
        <f t="shared" si="6"/>
        <v>1492147.7778330531</v>
      </c>
      <c r="AF33" s="3">
        <f t="shared" si="6"/>
        <v>1514380.7797227656</v>
      </c>
      <c r="AG33" s="3">
        <f t="shared" si="6"/>
        <v>1536945.0533406348</v>
      </c>
    </row>
    <row r="34" spans="1:33" x14ac:dyDescent="0.2">
      <c r="A34" t="s">
        <v>32</v>
      </c>
      <c r="D34" s="3">
        <f>-C6</f>
        <v>-100000</v>
      </c>
      <c r="E34" s="3">
        <f>$D$34*E24</f>
        <v>-103099.99999999999</v>
      </c>
      <c r="F34" s="3">
        <f t="shared" ref="F34:AG34" si="7">$D$34*F24</f>
        <v>-106296.09999999998</v>
      </c>
      <c r="G34" s="3">
        <f t="shared" si="7"/>
        <v>-109591.27909999997</v>
      </c>
      <c r="H34" s="3">
        <f t="shared" si="7"/>
        <v>-112988.60875209997</v>
      </c>
      <c r="I34" s="3">
        <f t="shared" si="7"/>
        <v>-116491.25562341507</v>
      </c>
      <c r="J34" s="3">
        <f t="shared" si="7"/>
        <v>-120102.48454774093</v>
      </c>
      <c r="K34" s="3">
        <f t="shared" si="7"/>
        <v>-123825.66156872088</v>
      </c>
      <c r="L34" s="3">
        <f t="shared" si="7"/>
        <v>-127664.25707735123</v>
      </c>
      <c r="M34" s="3">
        <f t="shared" si="7"/>
        <v>-131621.84904674909</v>
      </c>
      <c r="N34" s="3">
        <f t="shared" si="7"/>
        <v>-135702.1263671983</v>
      </c>
      <c r="O34" s="3">
        <f t="shared" si="7"/>
        <v>-139908.89228458147</v>
      </c>
      <c r="P34" s="3">
        <f t="shared" si="7"/>
        <v>-144246.06794540348</v>
      </c>
      <c r="Q34" s="3">
        <f t="shared" si="7"/>
        <v>-148717.69605171098</v>
      </c>
      <c r="R34" s="3">
        <f t="shared" si="7"/>
        <v>-153327.94462931401</v>
      </c>
      <c r="S34" s="3">
        <f t="shared" si="7"/>
        <v>-158081.11091282274</v>
      </c>
      <c r="T34" s="3">
        <f t="shared" si="7"/>
        <v>-162981.62535112025</v>
      </c>
      <c r="U34" s="3">
        <f t="shared" si="7"/>
        <v>-168034.05573700496</v>
      </c>
      <c r="V34" s="3">
        <f t="shared" si="7"/>
        <v>-173243.11146485209</v>
      </c>
      <c r="W34" s="3">
        <f t="shared" si="7"/>
        <v>-178613.64792026248</v>
      </c>
      <c r="X34" s="3">
        <f t="shared" si="7"/>
        <v>-184150.67100579065</v>
      </c>
      <c r="Y34" s="3">
        <f t="shared" si="7"/>
        <v>-189859.34180697013</v>
      </c>
      <c r="Z34" s="3">
        <f t="shared" si="7"/>
        <v>-195744.98140298619</v>
      </c>
      <c r="AA34" s="3">
        <f t="shared" si="7"/>
        <v>-201813.07582647877</v>
      </c>
      <c r="AB34" s="3">
        <f t="shared" si="7"/>
        <v>-208069.28117709956</v>
      </c>
      <c r="AC34" s="3">
        <f t="shared" si="7"/>
        <v>-214519.42889358965</v>
      </c>
      <c r="AD34" s="3">
        <f t="shared" si="7"/>
        <v>-221169.53118929089</v>
      </c>
      <c r="AE34" s="3">
        <f t="shared" si="7"/>
        <v>-228025.78665615895</v>
      </c>
      <c r="AF34" s="3">
        <f t="shared" si="7"/>
        <v>-235094.58604249987</v>
      </c>
      <c r="AG34" s="3">
        <f t="shared" si="7"/>
        <v>-242382.51820981732</v>
      </c>
    </row>
    <row r="35" spans="1:33" x14ac:dyDescent="0.2">
      <c r="A35" t="s">
        <v>33</v>
      </c>
      <c r="D35" s="3">
        <f>D33+D34</f>
        <v>903911.49580400006</v>
      </c>
      <c r="E35" s="3">
        <f t="shared" ref="E35:AG35" si="8">E33+E34</f>
        <v>912697.80791431945</v>
      </c>
      <c r="F35" s="3">
        <f t="shared" si="8"/>
        <v>924637.09525224287</v>
      </c>
      <c r="G35" s="3">
        <f t="shared" si="8"/>
        <v>936702.82076150144</v>
      </c>
      <c r="H35" s="3">
        <f t="shared" si="8"/>
        <v>948895.27319733775</v>
      </c>
      <c r="I35" s="3">
        <f t="shared" si="8"/>
        <v>961214.69616706925</v>
      </c>
      <c r="J35" s="3">
        <f t="shared" si="8"/>
        <v>973661.28592442174</v>
      </c>
      <c r="K35" s="3">
        <f t="shared" si="8"/>
        <v>986235.18908347678</v>
      </c>
      <c r="L35" s="3">
        <f t="shared" si="8"/>
        <v>998936.50024956418</v>
      </c>
      <c r="M35" s="3">
        <f t="shared" si="8"/>
        <v>1011765.2595643376</v>
      </c>
      <c r="N35" s="3">
        <f t="shared" si="8"/>
        <v>1024721.4501621935</v>
      </c>
      <c r="O35" s="3">
        <f t="shared" si="8"/>
        <v>1037804.9955350982</v>
      </c>
      <c r="P35" s="3">
        <f t="shared" si="8"/>
        <v>1051015.7568027896</v>
      </c>
      <c r="Q35" s="3">
        <f t="shared" si="8"/>
        <v>1064353.5298852301</v>
      </c>
      <c r="R35" s="3">
        <f t="shared" si="8"/>
        <v>1077818.0425740876</v>
      </c>
      <c r="S35" s="3">
        <f t="shared" si="8"/>
        <v>1091408.9514999096</v>
      </c>
      <c r="T35" s="3">
        <f t="shared" si="8"/>
        <v>1105125.8389915617</v>
      </c>
      <c r="U35" s="3">
        <f t="shared" si="8"/>
        <v>1118968.2098243833</v>
      </c>
      <c r="V35" s="3">
        <f t="shared" si="8"/>
        <v>1132935.4878534006</v>
      </c>
      <c r="W35" s="3">
        <f t="shared" si="8"/>
        <v>1147027.0125278321</v>
      </c>
      <c r="X35" s="3">
        <f t="shared" si="8"/>
        <v>1161242.0352829809</v>
      </c>
      <c r="Y35" s="3">
        <f t="shared" si="8"/>
        <v>1175579.715805504</v>
      </c>
      <c r="Z35" s="3">
        <f t="shared" si="8"/>
        <v>1190039.1181679138</v>
      </c>
      <c r="AA35" s="3">
        <f t="shared" si="8"/>
        <v>1204619.2068280275</v>
      </c>
      <c r="AB35" s="3">
        <f t="shared" si="8"/>
        <v>1219318.842488959</v>
      </c>
      <c r="AC35" s="3">
        <f t="shared" si="8"/>
        <v>1234136.7778150933</v>
      </c>
      <c r="AD35" s="3">
        <f t="shared" si="8"/>
        <v>1249071.6529993515</v>
      </c>
      <c r="AE35" s="3">
        <f t="shared" si="8"/>
        <v>1264121.9911768942</v>
      </c>
      <c r="AF35" s="3">
        <f t="shared" si="8"/>
        <v>1279286.1936802657</v>
      </c>
      <c r="AG35" s="3">
        <f t="shared" si="8"/>
        <v>1294562.5351308174</v>
      </c>
    </row>
    <row r="37" spans="1:33" x14ac:dyDescent="0.2">
      <c r="A37" t="s">
        <v>34</v>
      </c>
      <c r="C37" s="3">
        <f>-C5</f>
        <v>-9200000</v>
      </c>
    </row>
    <row r="39" spans="1:33" x14ac:dyDescent="0.2">
      <c r="A39" t="s">
        <v>45</v>
      </c>
      <c r="C39" s="3">
        <f>C37+C35</f>
        <v>-9200000</v>
      </c>
      <c r="D39" s="3">
        <f t="shared" ref="D39:AG39" si="9">D37+D35</f>
        <v>903911.49580400006</v>
      </c>
      <c r="E39" s="3">
        <f t="shared" si="9"/>
        <v>912697.80791431945</v>
      </c>
      <c r="F39" s="3">
        <f t="shared" si="9"/>
        <v>924637.09525224287</v>
      </c>
      <c r="G39" s="3">
        <f t="shared" si="9"/>
        <v>936702.82076150144</v>
      </c>
      <c r="H39" s="3">
        <f t="shared" si="9"/>
        <v>948895.27319733775</v>
      </c>
      <c r="I39" s="3">
        <f t="shared" si="9"/>
        <v>961214.69616706925</v>
      </c>
      <c r="J39" s="3">
        <f t="shared" si="9"/>
        <v>973661.28592442174</v>
      </c>
      <c r="K39" s="3">
        <f t="shared" si="9"/>
        <v>986235.18908347678</v>
      </c>
      <c r="L39" s="3">
        <f t="shared" si="9"/>
        <v>998936.50024956418</v>
      </c>
      <c r="M39" s="3">
        <f t="shared" si="9"/>
        <v>1011765.2595643376</v>
      </c>
      <c r="N39" s="3">
        <f t="shared" si="9"/>
        <v>1024721.4501621935</v>
      </c>
      <c r="O39" s="3">
        <f t="shared" si="9"/>
        <v>1037804.9955350982</v>
      </c>
      <c r="P39" s="3">
        <f t="shared" si="9"/>
        <v>1051015.7568027896</v>
      </c>
      <c r="Q39" s="3">
        <f t="shared" si="9"/>
        <v>1064353.5298852301</v>
      </c>
      <c r="R39" s="3">
        <f t="shared" si="9"/>
        <v>1077818.0425740876</v>
      </c>
      <c r="S39" s="3">
        <f t="shared" si="9"/>
        <v>1091408.9514999096</v>
      </c>
      <c r="T39" s="3">
        <f t="shared" si="9"/>
        <v>1105125.8389915617</v>
      </c>
      <c r="U39" s="3">
        <f t="shared" si="9"/>
        <v>1118968.2098243833</v>
      </c>
      <c r="V39" s="3">
        <f t="shared" si="9"/>
        <v>1132935.4878534006</v>
      </c>
      <c r="W39" s="3">
        <f t="shared" si="9"/>
        <v>1147027.0125278321</v>
      </c>
      <c r="X39" s="3">
        <f t="shared" si="9"/>
        <v>1161242.0352829809</v>
      </c>
      <c r="Y39" s="3">
        <f t="shared" si="9"/>
        <v>1175579.715805504</v>
      </c>
      <c r="Z39" s="3">
        <f t="shared" si="9"/>
        <v>1190039.1181679138</v>
      </c>
      <c r="AA39" s="3">
        <f t="shared" si="9"/>
        <v>1204619.2068280275</v>
      </c>
      <c r="AB39" s="3">
        <f t="shared" si="9"/>
        <v>1219318.842488959</v>
      </c>
      <c r="AC39" s="3">
        <f t="shared" si="9"/>
        <v>1234136.7778150933</v>
      </c>
      <c r="AD39" s="3">
        <f t="shared" si="9"/>
        <v>1249071.6529993515</v>
      </c>
      <c r="AE39" s="3">
        <f t="shared" si="9"/>
        <v>1264121.9911768942</v>
      </c>
      <c r="AF39" s="3">
        <f t="shared" si="9"/>
        <v>1279286.1936802657</v>
      </c>
      <c r="AG39" s="3">
        <f t="shared" si="9"/>
        <v>1294562.5351308174</v>
      </c>
    </row>
    <row r="40" spans="1:33" x14ac:dyDescent="0.2">
      <c r="A40" s="1" t="s">
        <v>35</v>
      </c>
      <c r="B40" s="1"/>
      <c r="C40" s="12">
        <f>NPV(C10/100,C39:AG39)</f>
        <v>3295729.7909217929</v>
      </c>
    </row>
    <row r="41" spans="1:33" x14ac:dyDescent="0.2">
      <c r="A41" s="1" t="s">
        <v>36</v>
      </c>
      <c r="B41" s="1"/>
      <c r="C41" s="15">
        <f>IRR(C39:AG39)</f>
        <v>0.10328244194631941</v>
      </c>
    </row>
    <row r="44" spans="1:33" x14ac:dyDescent="0.2">
      <c r="A44" t="s">
        <v>4</v>
      </c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87A8-A436-4A7F-83B1-9F1DA5E935D3}">
  <dimension ref="A1:AG57"/>
  <sheetViews>
    <sheetView topLeftCell="A5" zoomScale="103" zoomScaleNormal="110" workbookViewId="0">
      <selection activeCell="G63" sqref="G63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(5*1000000*H4)</f>
        <v>8560000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8560000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5*1000000*J4</f>
        <v>65000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t="s">
        <v>57</v>
      </c>
    </row>
    <row r="8" spans="1:11" x14ac:dyDescent="0.2">
      <c r="A8" t="s">
        <v>5</v>
      </c>
      <c r="C8">
        <v>3.25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5.25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27">
        <v>6838.28</v>
      </c>
      <c r="D13" t="s">
        <v>54</v>
      </c>
      <c r="E13" t="s">
        <v>86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6154.4520000000002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28">
        <f>+[4]Parameters!F12</f>
        <v>147.94</v>
      </c>
      <c r="D19" t="s">
        <v>19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6154.4520000000002</v>
      </c>
      <c r="E26" s="8">
        <f>D26*(1-C15/100)</f>
        <v>6105.2163840000003</v>
      </c>
      <c r="F26" s="8">
        <f>E26*(1-$C$16/100)</f>
        <v>6074.69030208</v>
      </c>
      <c r="G26" s="8">
        <f t="shared" ref="G26:AG26" si="2">F26*(1-$C$16/100)</f>
        <v>6044.3168505696003</v>
      </c>
      <c r="H26" s="8">
        <f t="shared" si="2"/>
        <v>6014.0952663167527</v>
      </c>
      <c r="I26" s="8">
        <f t="shared" si="2"/>
        <v>5984.0247899851693</v>
      </c>
      <c r="J26" s="8">
        <f t="shared" si="2"/>
        <v>5954.1046660352431</v>
      </c>
      <c r="K26" s="8">
        <f t="shared" si="2"/>
        <v>5924.3341427050673</v>
      </c>
      <c r="L26" s="8">
        <f t="shared" si="2"/>
        <v>5894.7124719915419</v>
      </c>
      <c r="M26" s="8">
        <f t="shared" si="2"/>
        <v>5865.2389096315837</v>
      </c>
      <c r="N26" s="8">
        <f t="shared" si="2"/>
        <v>5835.9127150834256</v>
      </c>
      <c r="O26" s="8">
        <f t="shared" si="2"/>
        <v>5806.7331515080086</v>
      </c>
      <c r="P26" s="8">
        <f t="shared" si="2"/>
        <v>5777.6994857504687</v>
      </c>
      <c r="Q26" s="8">
        <f t="shared" si="2"/>
        <v>5748.8109883217166</v>
      </c>
      <c r="R26" s="8">
        <f t="shared" si="2"/>
        <v>5720.0669333801079</v>
      </c>
      <c r="S26" s="8">
        <f t="shared" si="2"/>
        <v>5691.4665987132075</v>
      </c>
      <c r="T26" s="8">
        <f t="shared" si="2"/>
        <v>5663.0092657196419</v>
      </c>
      <c r="U26" s="8">
        <f t="shared" si="2"/>
        <v>5634.6942193910436</v>
      </c>
      <c r="V26" s="8">
        <f t="shared" si="2"/>
        <v>5606.5207482940887</v>
      </c>
      <c r="W26" s="8">
        <f t="shared" si="2"/>
        <v>5578.488144552618</v>
      </c>
      <c r="X26" s="8">
        <f t="shared" si="2"/>
        <v>5550.5957038298548</v>
      </c>
      <c r="Y26" s="8">
        <f t="shared" si="2"/>
        <v>5522.8427253107056</v>
      </c>
      <c r="Z26" s="8">
        <f t="shared" si="2"/>
        <v>5495.2285116841522</v>
      </c>
      <c r="AA26" s="8">
        <f t="shared" si="2"/>
        <v>5467.7523691257311</v>
      </c>
      <c r="AB26" s="8">
        <f t="shared" si="2"/>
        <v>5440.413607280102</v>
      </c>
      <c r="AC26" s="8">
        <f t="shared" si="2"/>
        <v>5413.2115392437017</v>
      </c>
      <c r="AD26" s="8">
        <f t="shared" si="2"/>
        <v>5386.1454815474835</v>
      </c>
      <c r="AE26" s="8">
        <f t="shared" si="2"/>
        <v>5359.2147541397462</v>
      </c>
      <c r="AF26" s="8">
        <f t="shared" si="2"/>
        <v>5332.4186803690473</v>
      </c>
      <c r="AG26" s="8">
        <f t="shared" si="2"/>
        <v>5305.7565869672017</v>
      </c>
    </row>
    <row r="27" spans="1:33" s="8" customFormat="1" x14ac:dyDescent="0.2">
      <c r="A27" s="8" t="s">
        <v>27</v>
      </c>
      <c r="D27" s="8">
        <f>(1-$C$17/100)*D26</f>
        <v>6154.4520000000002</v>
      </c>
      <c r="E27" s="8">
        <f t="shared" ref="E27:AG27" si="3">(1-$C$17/100)*E26</f>
        <v>6105.2163840000003</v>
      </c>
      <c r="F27" s="8">
        <f t="shared" si="3"/>
        <v>6074.69030208</v>
      </c>
      <c r="G27" s="8">
        <f t="shared" si="3"/>
        <v>6044.3168505696003</v>
      </c>
      <c r="H27" s="8">
        <f t="shared" si="3"/>
        <v>6014.0952663167527</v>
      </c>
      <c r="I27" s="8">
        <f t="shared" si="3"/>
        <v>5984.0247899851693</v>
      </c>
      <c r="J27" s="8">
        <f t="shared" si="3"/>
        <v>5954.1046660352431</v>
      </c>
      <c r="K27" s="8">
        <f t="shared" si="3"/>
        <v>5924.3341427050673</v>
      </c>
      <c r="L27" s="8">
        <f t="shared" si="3"/>
        <v>5894.7124719915419</v>
      </c>
      <c r="M27" s="8">
        <f t="shared" si="3"/>
        <v>5865.2389096315837</v>
      </c>
      <c r="N27" s="8">
        <f t="shared" si="3"/>
        <v>5835.9127150834256</v>
      </c>
      <c r="O27" s="8">
        <f t="shared" si="3"/>
        <v>5806.7331515080086</v>
      </c>
      <c r="P27" s="8">
        <f t="shared" si="3"/>
        <v>5777.6994857504687</v>
      </c>
      <c r="Q27" s="8">
        <f t="shared" si="3"/>
        <v>5748.8109883217166</v>
      </c>
      <c r="R27" s="8">
        <f t="shared" si="3"/>
        <v>5720.0669333801079</v>
      </c>
      <c r="S27" s="8">
        <f t="shared" si="3"/>
        <v>5691.4665987132075</v>
      </c>
      <c r="T27" s="8">
        <f t="shared" si="3"/>
        <v>5663.0092657196419</v>
      </c>
      <c r="U27" s="8">
        <f t="shared" si="3"/>
        <v>5634.6942193910436</v>
      </c>
      <c r="V27" s="8">
        <f t="shared" si="3"/>
        <v>5606.5207482940887</v>
      </c>
      <c r="W27" s="8">
        <f t="shared" si="3"/>
        <v>5578.488144552618</v>
      </c>
      <c r="X27" s="8">
        <f t="shared" si="3"/>
        <v>5550.5957038298548</v>
      </c>
      <c r="Y27" s="8">
        <f t="shared" si="3"/>
        <v>5522.8427253107056</v>
      </c>
      <c r="Z27" s="8">
        <f t="shared" si="3"/>
        <v>5495.2285116841522</v>
      </c>
      <c r="AA27" s="8">
        <f t="shared" si="3"/>
        <v>5467.7523691257311</v>
      </c>
      <c r="AB27" s="8">
        <f t="shared" si="3"/>
        <v>5440.413607280102</v>
      </c>
      <c r="AC27" s="8">
        <f t="shared" si="3"/>
        <v>5413.2115392437017</v>
      </c>
      <c r="AD27" s="8">
        <f t="shared" si="3"/>
        <v>5386.1454815474835</v>
      </c>
      <c r="AE27" s="8">
        <f t="shared" si="3"/>
        <v>5359.2147541397462</v>
      </c>
      <c r="AF27" s="8">
        <f t="shared" si="3"/>
        <v>5332.4186803690473</v>
      </c>
      <c r="AG27" s="8">
        <f t="shared" si="3"/>
        <v>5305.7565869672017</v>
      </c>
    </row>
    <row r="29" spans="1:33" x14ac:dyDescent="0.2">
      <c r="A29" t="s">
        <v>28</v>
      </c>
      <c r="D29" s="3">
        <f>C19</f>
        <v>147.94</v>
      </c>
      <c r="E29" s="3">
        <f>D29*(1+$C$20/100)</f>
        <v>150.89879999999999</v>
      </c>
      <c r="F29" s="3">
        <f t="shared" ref="F29:AG29" si="4">E29*(1+$C$20/100)</f>
        <v>153.916776</v>
      </c>
      <c r="G29" s="3">
        <f t="shared" si="4"/>
        <v>156.99511151999999</v>
      </c>
      <c r="H29" s="3">
        <f t="shared" si="4"/>
        <v>160.13501375039999</v>
      </c>
      <c r="I29" s="3">
        <f t="shared" si="4"/>
        <v>163.33771402540799</v>
      </c>
      <c r="J29" s="3">
        <f t="shared" si="4"/>
        <v>166.60446830591616</v>
      </c>
      <c r="K29" s="3">
        <f t="shared" si="4"/>
        <v>169.9365576720345</v>
      </c>
      <c r="L29" s="3">
        <f t="shared" si="4"/>
        <v>173.3352888254752</v>
      </c>
      <c r="M29" s="3">
        <f t="shared" si="4"/>
        <v>176.80199460198472</v>
      </c>
      <c r="N29" s="3">
        <f t="shared" si="4"/>
        <v>180.33803449402441</v>
      </c>
      <c r="O29" s="3">
        <f t="shared" si="4"/>
        <v>183.94479518390492</v>
      </c>
      <c r="P29" s="3">
        <f t="shared" si="4"/>
        <v>187.62369108758301</v>
      </c>
      <c r="Q29" s="3">
        <f t="shared" si="4"/>
        <v>191.37616490933468</v>
      </c>
      <c r="R29" s="3">
        <f t="shared" si="4"/>
        <v>195.20368820752137</v>
      </c>
      <c r="S29" s="3">
        <f t="shared" si="4"/>
        <v>199.10776197167181</v>
      </c>
      <c r="T29" s="3">
        <f t="shared" si="4"/>
        <v>203.08991721110525</v>
      </c>
      <c r="U29" s="3">
        <f t="shared" si="4"/>
        <v>207.15171555532734</v>
      </c>
      <c r="V29" s="3">
        <f t="shared" si="4"/>
        <v>211.2947498664339</v>
      </c>
      <c r="W29" s="3">
        <f t="shared" si="4"/>
        <v>215.52064486376258</v>
      </c>
      <c r="X29" s="3">
        <f t="shared" si="4"/>
        <v>219.83105776103784</v>
      </c>
      <c r="Y29" s="3">
        <f t="shared" si="4"/>
        <v>224.22767891625861</v>
      </c>
      <c r="Z29" s="3">
        <f t="shared" si="4"/>
        <v>228.71223249458379</v>
      </c>
      <c r="AA29" s="3">
        <f t="shared" si="4"/>
        <v>233.28647714447547</v>
      </c>
      <c r="AB29" s="3">
        <f t="shared" si="4"/>
        <v>237.95220668736499</v>
      </c>
      <c r="AC29" s="3">
        <f t="shared" si="4"/>
        <v>242.71125082111229</v>
      </c>
      <c r="AD29" s="3">
        <f t="shared" si="4"/>
        <v>247.56547583753454</v>
      </c>
      <c r="AE29" s="3">
        <f t="shared" si="4"/>
        <v>252.51678535428522</v>
      </c>
      <c r="AF29" s="3">
        <f t="shared" si="4"/>
        <v>257.56712106137093</v>
      </c>
      <c r="AG29" s="3">
        <f t="shared" si="4"/>
        <v>262.71846348259834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910489.62887999997</v>
      </c>
      <c r="E33" s="3">
        <f t="shared" ref="E33:AG33" si="6">E29*E27</f>
        <v>921269.82608593919</v>
      </c>
      <c r="F33" s="3">
        <f t="shared" si="6"/>
        <v>934996.74649461964</v>
      </c>
      <c r="G33" s="3">
        <f t="shared" si="6"/>
        <v>948928.19801738951</v>
      </c>
      <c r="H33" s="3">
        <f t="shared" si="6"/>
        <v>963067.22816784866</v>
      </c>
      <c r="I33" s="3">
        <f t="shared" si="6"/>
        <v>977416.92986754968</v>
      </c>
      <c r="J33" s="3">
        <f t="shared" si="6"/>
        <v>991980.44212257618</v>
      </c>
      <c r="K33" s="3">
        <f t="shared" si="6"/>
        <v>1006760.9507102027</v>
      </c>
      <c r="L33" s="3">
        <f t="shared" si="6"/>
        <v>1021761.6888757849</v>
      </c>
      <c r="M33" s="3">
        <f t="shared" si="6"/>
        <v>1036985.938040034</v>
      </c>
      <c r="N33" s="3">
        <f t="shared" si="6"/>
        <v>1052437.0285168304</v>
      </c>
      <c r="O33" s="3">
        <f t="shared" si="6"/>
        <v>1068118.3402417314</v>
      </c>
      <c r="P33" s="3">
        <f t="shared" si="6"/>
        <v>1084033.3035113332</v>
      </c>
      <c r="Q33" s="3">
        <f t="shared" si="6"/>
        <v>1100185.3997336521</v>
      </c>
      <c r="R33" s="3">
        <f t="shared" si="6"/>
        <v>1116578.1621896834</v>
      </c>
      <c r="S33" s="3">
        <f t="shared" si="6"/>
        <v>1133215.17680631</v>
      </c>
      <c r="T33" s="3">
        <f t="shared" si="6"/>
        <v>1150100.082940724</v>
      </c>
      <c r="U33" s="3">
        <f t="shared" si="6"/>
        <v>1167236.5741765406</v>
      </c>
      <c r="V33" s="3">
        <f t="shared" si="6"/>
        <v>1184628.3991317714</v>
      </c>
      <c r="W33" s="3">
        <f t="shared" si="6"/>
        <v>1202279.3622788347</v>
      </c>
      <c r="X33" s="3">
        <f t="shared" si="6"/>
        <v>1220193.3247767892</v>
      </c>
      <c r="Y33" s="3">
        <f t="shared" si="6"/>
        <v>1238374.2053159636</v>
      </c>
      <c r="Z33" s="3">
        <f t="shared" si="6"/>
        <v>1256825.9809751716</v>
      </c>
      <c r="AA33" s="3">
        <f t="shared" si="6"/>
        <v>1275552.6880917014</v>
      </c>
      <c r="AB33" s="3">
        <f t="shared" si="6"/>
        <v>1294558.4231442679</v>
      </c>
      <c r="AC33" s="3">
        <f t="shared" si="6"/>
        <v>1313847.3436491175</v>
      </c>
      <c r="AD33" s="3">
        <f t="shared" si="6"/>
        <v>1333423.6690694895</v>
      </c>
      <c r="AE33" s="3">
        <f t="shared" si="6"/>
        <v>1353291.6817386248</v>
      </c>
      <c r="AF33" s="3">
        <f t="shared" si="6"/>
        <v>1373455.7277965301</v>
      </c>
      <c r="AG33" s="3">
        <f t="shared" si="6"/>
        <v>1393920.2181406983</v>
      </c>
    </row>
    <row r="34" spans="1:33" x14ac:dyDescent="0.2">
      <c r="A34" t="s">
        <v>32</v>
      </c>
      <c r="D34" s="3">
        <f>-C6</f>
        <v>-65000</v>
      </c>
      <c r="E34" s="3">
        <f>$D$34*E24</f>
        <v>-67015</v>
      </c>
      <c r="F34" s="3">
        <f t="shared" ref="F34:AG34" si="7">$D$34*F24</f>
        <v>-69092.464999999982</v>
      </c>
      <c r="G34" s="3">
        <f t="shared" si="7"/>
        <v>-71234.331414999979</v>
      </c>
      <c r="H34" s="3">
        <f t="shared" si="7"/>
        <v>-73442.595688864982</v>
      </c>
      <c r="I34" s="3">
        <f t="shared" si="7"/>
        <v>-75719.3161552198</v>
      </c>
      <c r="J34" s="3">
        <f t="shared" si="7"/>
        <v>-78066.614956031597</v>
      </c>
      <c r="K34" s="3">
        <f t="shared" si="7"/>
        <v>-80486.680019668565</v>
      </c>
      <c r="L34" s="3">
        <f t="shared" si="7"/>
        <v>-82981.767100278303</v>
      </c>
      <c r="M34" s="3">
        <f t="shared" si="7"/>
        <v>-85554.201880386914</v>
      </c>
      <c r="N34" s="3">
        <f t="shared" si="7"/>
        <v>-88206.382138678906</v>
      </c>
      <c r="O34" s="3">
        <f t="shared" si="7"/>
        <v>-90940.77998497794</v>
      </c>
      <c r="P34" s="3">
        <f t="shared" si="7"/>
        <v>-93759.944164512272</v>
      </c>
      <c r="Q34" s="3">
        <f t="shared" si="7"/>
        <v>-96666.502433612142</v>
      </c>
      <c r="R34" s="3">
        <f t="shared" si="7"/>
        <v>-99663.164009054104</v>
      </c>
      <c r="S34" s="3">
        <f t="shared" si="7"/>
        <v>-102752.72209333477</v>
      </c>
      <c r="T34" s="3">
        <f t="shared" si="7"/>
        <v>-105938.05647822816</v>
      </c>
      <c r="U34" s="3">
        <f t="shared" si="7"/>
        <v>-109222.13622905323</v>
      </c>
      <c r="V34" s="3">
        <f t="shared" si="7"/>
        <v>-112608.02245215386</v>
      </c>
      <c r="W34" s="3">
        <f t="shared" si="7"/>
        <v>-116098.87114817061</v>
      </c>
      <c r="X34" s="3">
        <f t="shared" si="7"/>
        <v>-119697.93615376391</v>
      </c>
      <c r="Y34" s="3">
        <f t="shared" si="7"/>
        <v>-123408.57217453058</v>
      </c>
      <c r="Z34" s="3">
        <f t="shared" si="7"/>
        <v>-127234.23791194103</v>
      </c>
      <c r="AA34" s="3">
        <f t="shared" si="7"/>
        <v>-131178.49928721119</v>
      </c>
      <c r="AB34" s="3">
        <f t="shared" si="7"/>
        <v>-135245.03276511471</v>
      </c>
      <c r="AC34" s="3">
        <f t="shared" si="7"/>
        <v>-139437.62878083327</v>
      </c>
      <c r="AD34" s="3">
        <f t="shared" si="7"/>
        <v>-143760.19527303908</v>
      </c>
      <c r="AE34" s="3">
        <f t="shared" si="7"/>
        <v>-148216.7613265033</v>
      </c>
      <c r="AF34" s="3">
        <f t="shared" si="7"/>
        <v>-152811.48092762491</v>
      </c>
      <c r="AG34" s="3">
        <f t="shared" si="7"/>
        <v>-157548.63683638128</v>
      </c>
    </row>
    <row r="35" spans="1:33" x14ac:dyDescent="0.2">
      <c r="A35" t="s">
        <v>33</v>
      </c>
      <c r="D35" s="3">
        <f>D33+D34</f>
        <v>845489.62887999997</v>
      </c>
      <c r="E35" s="3">
        <f t="shared" ref="E35:AG35" si="8">E33+E34</f>
        <v>854254.82608593919</v>
      </c>
      <c r="F35" s="3">
        <f t="shared" si="8"/>
        <v>865904.28149461967</v>
      </c>
      <c r="G35" s="3">
        <f t="shared" si="8"/>
        <v>877693.86660238949</v>
      </c>
      <c r="H35" s="3">
        <f t="shared" si="8"/>
        <v>889624.63247898372</v>
      </c>
      <c r="I35" s="3">
        <f t="shared" si="8"/>
        <v>901697.61371232988</v>
      </c>
      <c r="J35" s="3">
        <f t="shared" si="8"/>
        <v>913913.82716654462</v>
      </c>
      <c r="K35" s="3">
        <f t="shared" si="8"/>
        <v>926274.27069053415</v>
      </c>
      <c r="L35" s="3">
        <f t="shared" si="8"/>
        <v>938779.92177550658</v>
      </c>
      <c r="M35" s="3">
        <f t="shared" si="8"/>
        <v>951431.73615964712</v>
      </c>
      <c r="N35" s="3">
        <f t="shared" si="8"/>
        <v>964230.64637815149</v>
      </c>
      <c r="O35" s="3">
        <f t="shared" si="8"/>
        <v>977177.56025675347</v>
      </c>
      <c r="P35" s="3">
        <f t="shared" si="8"/>
        <v>990273.35934682097</v>
      </c>
      <c r="Q35" s="3">
        <f t="shared" si="8"/>
        <v>1003518.89730004</v>
      </c>
      <c r="R35" s="3">
        <f t="shared" si="8"/>
        <v>1016914.9981806293</v>
      </c>
      <c r="S35" s="3">
        <f t="shared" si="8"/>
        <v>1030462.4547129752</v>
      </c>
      <c r="T35" s="3">
        <f t="shared" si="8"/>
        <v>1044162.0264624958</v>
      </c>
      <c r="U35" s="3">
        <f t="shared" si="8"/>
        <v>1058014.4379474875</v>
      </c>
      <c r="V35" s="3">
        <f t="shared" si="8"/>
        <v>1072020.3766796174</v>
      </c>
      <c r="W35" s="3">
        <f t="shared" si="8"/>
        <v>1086180.491130664</v>
      </c>
      <c r="X35" s="3">
        <f t="shared" si="8"/>
        <v>1100495.3886230253</v>
      </c>
      <c r="Y35" s="3">
        <f t="shared" si="8"/>
        <v>1114965.6331414331</v>
      </c>
      <c r="Z35" s="3">
        <f t="shared" si="8"/>
        <v>1129591.7430632305</v>
      </c>
      <c r="AA35" s="3">
        <f t="shared" si="8"/>
        <v>1144374.1888044903</v>
      </c>
      <c r="AB35" s="3">
        <f t="shared" si="8"/>
        <v>1159313.3903791532</v>
      </c>
      <c r="AC35" s="3">
        <f t="shared" si="8"/>
        <v>1174409.7148682843</v>
      </c>
      <c r="AD35" s="3">
        <f t="shared" si="8"/>
        <v>1189663.4737964503</v>
      </c>
      <c r="AE35" s="3">
        <f t="shared" si="8"/>
        <v>1205074.9204121216</v>
      </c>
      <c r="AF35" s="3">
        <f t="shared" si="8"/>
        <v>1220644.2468689051</v>
      </c>
      <c r="AG35" s="3">
        <f t="shared" si="8"/>
        <v>1236371.5813043169</v>
      </c>
    </row>
    <row r="37" spans="1:33" x14ac:dyDescent="0.2">
      <c r="A37" t="s">
        <v>34</v>
      </c>
      <c r="C37" s="3">
        <f>-C5</f>
        <v>-8560000</v>
      </c>
    </row>
    <row r="39" spans="1:33" x14ac:dyDescent="0.2">
      <c r="A39" t="s">
        <v>45</v>
      </c>
      <c r="C39" s="3">
        <f>C37+C35</f>
        <v>-8560000</v>
      </c>
      <c r="D39" s="3">
        <f t="shared" ref="D39:AG39" si="9">D37+D35</f>
        <v>845489.62887999997</v>
      </c>
      <c r="E39" s="3">
        <f t="shared" si="9"/>
        <v>854254.82608593919</v>
      </c>
      <c r="F39" s="3">
        <f t="shared" si="9"/>
        <v>865904.28149461967</v>
      </c>
      <c r="G39" s="3">
        <f t="shared" si="9"/>
        <v>877693.86660238949</v>
      </c>
      <c r="H39" s="3">
        <f t="shared" si="9"/>
        <v>889624.63247898372</v>
      </c>
      <c r="I39" s="3">
        <f t="shared" si="9"/>
        <v>901697.61371232988</v>
      </c>
      <c r="J39" s="3">
        <f t="shared" si="9"/>
        <v>913913.82716654462</v>
      </c>
      <c r="K39" s="3">
        <f t="shared" si="9"/>
        <v>926274.27069053415</v>
      </c>
      <c r="L39" s="3">
        <f t="shared" si="9"/>
        <v>938779.92177550658</v>
      </c>
      <c r="M39" s="3">
        <f t="shared" si="9"/>
        <v>951431.73615964712</v>
      </c>
      <c r="N39" s="3">
        <f t="shared" si="9"/>
        <v>964230.64637815149</v>
      </c>
      <c r="O39" s="3">
        <f t="shared" si="9"/>
        <v>977177.56025675347</v>
      </c>
      <c r="P39" s="3">
        <f t="shared" si="9"/>
        <v>990273.35934682097</v>
      </c>
      <c r="Q39" s="3">
        <f t="shared" si="9"/>
        <v>1003518.89730004</v>
      </c>
      <c r="R39" s="3">
        <f t="shared" si="9"/>
        <v>1016914.9981806293</v>
      </c>
      <c r="S39" s="3">
        <f t="shared" si="9"/>
        <v>1030462.4547129752</v>
      </c>
      <c r="T39" s="3">
        <f t="shared" si="9"/>
        <v>1044162.0264624958</v>
      </c>
      <c r="U39" s="3">
        <f t="shared" si="9"/>
        <v>1058014.4379474875</v>
      </c>
      <c r="V39" s="3">
        <f t="shared" si="9"/>
        <v>1072020.3766796174</v>
      </c>
      <c r="W39" s="3">
        <f t="shared" si="9"/>
        <v>1086180.491130664</v>
      </c>
      <c r="X39" s="3">
        <f t="shared" si="9"/>
        <v>1100495.3886230253</v>
      </c>
      <c r="Y39" s="3">
        <f t="shared" si="9"/>
        <v>1114965.6331414331</v>
      </c>
      <c r="Z39" s="3">
        <f t="shared" si="9"/>
        <v>1129591.7430632305</v>
      </c>
      <c r="AA39" s="3">
        <f t="shared" si="9"/>
        <v>1144374.1888044903</v>
      </c>
      <c r="AB39" s="3">
        <f t="shared" si="9"/>
        <v>1159313.3903791532</v>
      </c>
      <c r="AC39" s="3">
        <f t="shared" si="9"/>
        <v>1174409.7148682843</v>
      </c>
      <c r="AD39" s="3">
        <f t="shared" si="9"/>
        <v>1189663.4737964503</v>
      </c>
      <c r="AE39" s="3">
        <f t="shared" si="9"/>
        <v>1205074.9204121216</v>
      </c>
      <c r="AF39" s="3">
        <f t="shared" si="9"/>
        <v>1220644.2468689051</v>
      </c>
      <c r="AG39" s="3">
        <f t="shared" si="9"/>
        <v>1236371.5813043169</v>
      </c>
    </row>
    <row r="40" spans="1:33" x14ac:dyDescent="0.2">
      <c r="A40" s="1" t="s">
        <v>35</v>
      </c>
      <c r="B40" s="1"/>
      <c r="C40" s="12">
        <f>NPV(C10/100,C39:AG39)</f>
        <v>3200637.18839176</v>
      </c>
    </row>
    <row r="41" spans="1:33" x14ac:dyDescent="0.2">
      <c r="A41" s="1" t="s">
        <v>36</v>
      </c>
      <c r="B41" s="1"/>
      <c r="C41" s="21">
        <f>IRR(C39:AG39)</f>
        <v>0.10450962804076336</v>
      </c>
    </row>
    <row r="43" spans="1:33" x14ac:dyDescent="0.2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x14ac:dyDescent="0.2">
      <c r="C44" s="11"/>
    </row>
    <row r="45" spans="1:33" x14ac:dyDescent="0.2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x14ac:dyDescent="0.2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s="3" customFormat="1" x14ac:dyDescent="0.2"/>
    <row r="48" spans="1:33" x14ac:dyDescent="0.2"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50" spans="1:33" x14ac:dyDescent="0.2">
      <c r="C50" s="3"/>
    </row>
    <row r="51" spans="1:33" x14ac:dyDescent="0.2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x14ac:dyDescent="0.2">
      <c r="A52" s="1"/>
      <c r="B52" s="1"/>
      <c r="C52" s="12"/>
    </row>
    <row r="53" spans="1:33" x14ac:dyDescent="0.2">
      <c r="A53" s="1"/>
      <c r="B53" s="1"/>
      <c r="C53" s="15"/>
    </row>
    <row r="55" spans="1:33" x14ac:dyDescent="0.2">
      <c r="C55" s="11"/>
    </row>
    <row r="56" spans="1:33" x14ac:dyDescent="0.2">
      <c r="C56" s="3"/>
    </row>
    <row r="57" spans="1:33" x14ac:dyDescent="0.2">
      <c r="A57" s="1"/>
      <c r="B57" s="1"/>
      <c r="C57" s="13"/>
    </row>
  </sheetData>
  <mergeCells count="2">
    <mergeCell ref="H2:I2"/>
    <mergeCell ref="J2:K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18F92-763B-43D6-B68B-6C398869CB70}">
  <dimension ref="A1:AG43"/>
  <sheetViews>
    <sheetView zoomScale="103" zoomScaleNormal="110" workbookViewId="0">
      <selection activeCell="C19" sqref="C19"/>
    </sheetView>
  </sheetViews>
  <sheetFormatPr baseColWidth="10" defaultColWidth="15.83203125" defaultRowHeight="16" x14ac:dyDescent="0.2"/>
  <cols>
    <col min="3" max="3" width="20.6640625" customWidth="1"/>
  </cols>
  <sheetData>
    <row r="1" spans="1:11" s="5" customFormat="1" x14ac:dyDescent="0.2">
      <c r="A1" s="4" t="s">
        <v>0</v>
      </c>
      <c r="E1" s="4" t="s">
        <v>4</v>
      </c>
    </row>
    <row r="2" spans="1:11" x14ac:dyDescent="0.2">
      <c r="A2" t="s">
        <v>1</v>
      </c>
      <c r="C2">
        <v>30</v>
      </c>
      <c r="D2" t="s">
        <v>2</v>
      </c>
      <c r="G2" s="20"/>
      <c r="H2" s="42" t="s">
        <v>8</v>
      </c>
      <c r="I2" s="43"/>
      <c r="J2" s="42" t="s">
        <v>9</v>
      </c>
      <c r="K2" s="43"/>
    </row>
    <row r="3" spans="1:11" x14ac:dyDescent="0.2">
      <c r="A3" t="s">
        <v>8</v>
      </c>
      <c r="C3" s="3">
        <f>(5*1000000*I4)</f>
        <v>9200000</v>
      </c>
      <c r="D3" t="s">
        <v>11</v>
      </c>
      <c r="G3" s="20" t="s">
        <v>66</v>
      </c>
      <c r="H3" s="20" t="s">
        <v>69</v>
      </c>
      <c r="I3" s="20" t="s">
        <v>70</v>
      </c>
      <c r="J3" s="20" t="s">
        <v>69</v>
      </c>
      <c r="K3" s="20" t="s">
        <v>70</v>
      </c>
    </row>
    <row r="4" spans="1:11" x14ac:dyDescent="0.2">
      <c r="A4" t="s">
        <v>63</v>
      </c>
      <c r="C4" s="3">
        <v>0</v>
      </c>
      <c r="D4" t="s">
        <v>11</v>
      </c>
      <c r="G4" s="20" t="s">
        <v>67</v>
      </c>
      <c r="H4" s="20">
        <f>1712/1000</f>
        <v>1.712</v>
      </c>
      <c r="I4" s="20">
        <f>1840/1000</f>
        <v>1.84</v>
      </c>
      <c r="J4" s="20">
        <f>13/1000</f>
        <v>1.2999999999999999E-2</v>
      </c>
      <c r="K4" s="20">
        <f>20/1000</f>
        <v>0.02</v>
      </c>
    </row>
    <row r="5" spans="1:11" x14ac:dyDescent="0.2">
      <c r="A5" t="s">
        <v>12</v>
      </c>
      <c r="C5" s="3">
        <f>C3-C4</f>
        <v>9200000</v>
      </c>
      <c r="D5" t="s">
        <v>11</v>
      </c>
      <c r="G5" s="20" t="s">
        <v>68</v>
      </c>
      <c r="H5" s="20">
        <f>1553/1000</f>
        <v>1.5529999999999999</v>
      </c>
      <c r="I5" s="20">
        <f>1670/1000</f>
        <v>1.67</v>
      </c>
      <c r="J5" s="20"/>
      <c r="K5" s="20"/>
    </row>
    <row r="6" spans="1:11" x14ac:dyDescent="0.2">
      <c r="A6" t="s">
        <v>9</v>
      </c>
      <c r="C6" s="3">
        <f>5*1000000*K4</f>
        <v>100000</v>
      </c>
      <c r="D6" t="s">
        <v>10</v>
      </c>
    </row>
    <row r="7" spans="1:11" x14ac:dyDescent="0.2">
      <c r="A7" t="s">
        <v>20</v>
      </c>
      <c r="C7" s="7">
        <v>3.1</v>
      </c>
      <c r="D7" t="s">
        <v>21</v>
      </c>
      <c r="E7" s="2" t="s">
        <v>57</v>
      </c>
    </row>
    <row r="8" spans="1:11" x14ac:dyDescent="0.2">
      <c r="A8" t="s">
        <v>5</v>
      </c>
      <c r="C8">
        <v>2.25</v>
      </c>
      <c r="D8" t="s">
        <v>3</v>
      </c>
      <c r="E8" s="2" t="s">
        <v>58</v>
      </c>
    </row>
    <row r="9" spans="1:11" x14ac:dyDescent="0.2">
      <c r="A9" t="s">
        <v>6</v>
      </c>
      <c r="C9">
        <f>C8+2</f>
        <v>4.25</v>
      </c>
      <c r="D9" t="s">
        <v>3</v>
      </c>
    </row>
    <row r="10" spans="1:11" x14ac:dyDescent="0.2">
      <c r="A10" t="s">
        <v>82</v>
      </c>
      <c r="C10" s="7">
        <v>7</v>
      </c>
      <c r="D10" t="s">
        <v>3</v>
      </c>
      <c r="E10" t="s">
        <v>62</v>
      </c>
      <c r="F10" t="s">
        <v>83</v>
      </c>
    </row>
    <row r="11" spans="1:11" x14ac:dyDescent="0.2">
      <c r="A11" t="s">
        <v>7</v>
      </c>
      <c r="C11">
        <v>1.3</v>
      </c>
      <c r="D11" t="s">
        <v>15</v>
      </c>
    </row>
    <row r="13" spans="1:11" x14ac:dyDescent="0.2">
      <c r="A13" t="s">
        <v>13</v>
      </c>
      <c r="C13" s="27">
        <v>7918.18</v>
      </c>
      <c r="D13" t="s">
        <v>54</v>
      </c>
      <c r="G13" t="s">
        <v>42</v>
      </c>
      <c r="H13" s="18" t="s">
        <v>64</v>
      </c>
    </row>
    <row r="14" spans="1:11" x14ac:dyDescent="0.2">
      <c r="A14" t="s">
        <v>14</v>
      </c>
      <c r="C14" s="6">
        <f>0.9*C13</f>
        <v>7126.3620000000001</v>
      </c>
      <c r="D14" t="s">
        <v>54</v>
      </c>
      <c r="G14" t="s">
        <v>37</v>
      </c>
      <c r="H14" s="18" t="s">
        <v>65</v>
      </c>
    </row>
    <row r="15" spans="1:11" x14ac:dyDescent="0.2">
      <c r="A15" t="s">
        <v>16</v>
      </c>
      <c r="C15">
        <v>0.8</v>
      </c>
      <c r="D15" t="s">
        <v>17</v>
      </c>
    </row>
    <row r="16" spans="1:11" x14ac:dyDescent="0.2">
      <c r="A16" t="s">
        <v>16</v>
      </c>
      <c r="C16">
        <v>0.5</v>
      </c>
      <c r="D16" t="s">
        <v>18</v>
      </c>
    </row>
    <row r="17" spans="1:33" x14ac:dyDescent="0.2">
      <c r="A17" t="s">
        <v>25</v>
      </c>
      <c r="C17">
        <v>0</v>
      </c>
      <c r="D17" t="s">
        <v>26</v>
      </c>
    </row>
    <row r="19" spans="1:33" x14ac:dyDescent="0.2">
      <c r="A19" t="s">
        <v>60</v>
      </c>
      <c r="C19" s="28">
        <f>+[5]Parameters!F15</f>
        <v>148.91999999999999</v>
      </c>
      <c r="D19" t="s">
        <v>19</v>
      </c>
    </row>
    <row r="20" spans="1:33" x14ac:dyDescent="0.2">
      <c r="A20" t="s">
        <v>61</v>
      </c>
      <c r="C20">
        <v>2</v>
      </c>
      <c r="D20" t="s">
        <v>21</v>
      </c>
    </row>
    <row r="22" spans="1:33" s="5" customFormat="1" x14ac:dyDescent="0.2">
      <c r="A22" s="4" t="s">
        <v>29</v>
      </c>
    </row>
    <row r="23" spans="1:33" s="10" customFormat="1" x14ac:dyDescent="0.2">
      <c r="A23" s="9" t="s">
        <v>22</v>
      </c>
      <c r="C23" s="10">
        <v>0</v>
      </c>
      <c r="D23" s="10">
        <f>C23+1</f>
        <v>1</v>
      </c>
      <c r="E23" s="10">
        <f t="shared" ref="E23:AF23" si="0">D23+1</f>
        <v>2</v>
      </c>
      <c r="F23" s="10">
        <f t="shared" si="0"/>
        <v>3</v>
      </c>
      <c r="G23" s="10">
        <f t="shared" si="0"/>
        <v>4</v>
      </c>
      <c r="H23" s="10">
        <f t="shared" si="0"/>
        <v>5</v>
      </c>
      <c r="I23" s="10">
        <f t="shared" si="0"/>
        <v>6</v>
      </c>
      <c r="J23" s="10">
        <f t="shared" si="0"/>
        <v>7</v>
      </c>
      <c r="K23" s="10">
        <f t="shared" si="0"/>
        <v>8</v>
      </c>
      <c r="L23" s="10">
        <f t="shared" si="0"/>
        <v>9</v>
      </c>
      <c r="M23" s="10">
        <f t="shared" si="0"/>
        <v>10</v>
      </c>
      <c r="N23" s="10">
        <f t="shared" si="0"/>
        <v>11</v>
      </c>
      <c r="O23" s="10">
        <f t="shared" si="0"/>
        <v>12</v>
      </c>
      <c r="P23" s="10">
        <f t="shared" si="0"/>
        <v>13</v>
      </c>
      <c r="Q23" s="10">
        <f t="shared" si="0"/>
        <v>14</v>
      </c>
      <c r="R23" s="10">
        <f t="shared" si="0"/>
        <v>15</v>
      </c>
      <c r="S23" s="10">
        <f t="shared" si="0"/>
        <v>16</v>
      </c>
      <c r="T23" s="10">
        <f t="shared" si="0"/>
        <v>17</v>
      </c>
      <c r="U23" s="10">
        <f t="shared" si="0"/>
        <v>18</v>
      </c>
      <c r="V23" s="10">
        <f t="shared" si="0"/>
        <v>19</v>
      </c>
      <c r="W23" s="10">
        <f t="shared" si="0"/>
        <v>20</v>
      </c>
      <c r="X23" s="10">
        <f t="shared" si="0"/>
        <v>21</v>
      </c>
      <c r="Y23" s="10">
        <f t="shared" si="0"/>
        <v>22</v>
      </c>
      <c r="Z23" s="10">
        <f t="shared" si="0"/>
        <v>23</v>
      </c>
      <c r="AA23" s="10">
        <f t="shared" si="0"/>
        <v>24</v>
      </c>
      <c r="AB23" s="10">
        <f>AA23+1</f>
        <v>25</v>
      </c>
      <c r="AC23" s="10">
        <f t="shared" si="0"/>
        <v>26</v>
      </c>
      <c r="AD23" s="10">
        <f t="shared" si="0"/>
        <v>27</v>
      </c>
      <c r="AE23" s="10">
        <f t="shared" si="0"/>
        <v>28</v>
      </c>
      <c r="AF23" s="10">
        <f t="shared" si="0"/>
        <v>29</v>
      </c>
      <c r="AG23" s="10">
        <f>AF23+1</f>
        <v>30</v>
      </c>
    </row>
    <row r="24" spans="1:33" s="6" customFormat="1" x14ac:dyDescent="0.2">
      <c r="A24" s="6" t="s">
        <v>23</v>
      </c>
      <c r="D24" s="6">
        <v>1</v>
      </c>
      <c r="E24" s="6">
        <f>$D$24*(1+$C$7/100)^(E23-1)</f>
        <v>1.0309999999999999</v>
      </c>
      <c r="F24" s="6">
        <f t="shared" ref="F24:AG24" si="1">$D$24*(1+$C$7/100)^(F23-1)</f>
        <v>1.0629609999999998</v>
      </c>
      <c r="G24" s="6">
        <f t="shared" si="1"/>
        <v>1.0959127909999997</v>
      </c>
      <c r="H24" s="6">
        <f t="shared" si="1"/>
        <v>1.1298860875209997</v>
      </c>
      <c r="I24" s="6">
        <f t="shared" si="1"/>
        <v>1.1649125562341507</v>
      </c>
      <c r="J24" s="6">
        <f t="shared" si="1"/>
        <v>1.2010248454774093</v>
      </c>
      <c r="K24" s="6">
        <f t="shared" si="1"/>
        <v>1.2382566156872088</v>
      </c>
      <c r="L24" s="6">
        <f t="shared" si="1"/>
        <v>1.2766425707735123</v>
      </c>
      <c r="M24" s="6">
        <f t="shared" si="1"/>
        <v>1.316218490467491</v>
      </c>
      <c r="N24" s="6">
        <f t="shared" si="1"/>
        <v>1.3570212636719832</v>
      </c>
      <c r="O24" s="6">
        <f t="shared" si="1"/>
        <v>1.3990889228458145</v>
      </c>
      <c r="P24" s="6">
        <f t="shared" si="1"/>
        <v>1.4424606794540349</v>
      </c>
      <c r="Q24" s="6">
        <f t="shared" si="1"/>
        <v>1.4871769605171099</v>
      </c>
      <c r="R24" s="6">
        <f t="shared" si="1"/>
        <v>1.5332794462931401</v>
      </c>
      <c r="S24" s="6">
        <f t="shared" si="1"/>
        <v>1.5808111091282273</v>
      </c>
      <c r="T24" s="6">
        <f t="shared" si="1"/>
        <v>1.6298162535112024</v>
      </c>
      <c r="U24" s="6">
        <f t="shared" si="1"/>
        <v>1.6803405573700496</v>
      </c>
      <c r="V24" s="6">
        <f t="shared" si="1"/>
        <v>1.732431114648521</v>
      </c>
      <c r="W24" s="6">
        <f t="shared" si="1"/>
        <v>1.7861364792026249</v>
      </c>
      <c r="X24" s="6">
        <f t="shared" si="1"/>
        <v>1.8415067100579063</v>
      </c>
      <c r="Y24" s="6">
        <f t="shared" si="1"/>
        <v>1.8985934180697013</v>
      </c>
      <c r="Z24" s="6">
        <f t="shared" si="1"/>
        <v>1.957449814029862</v>
      </c>
      <c r="AA24" s="6">
        <f t="shared" si="1"/>
        <v>2.0181307582647876</v>
      </c>
      <c r="AB24" s="6">
        <f t="shared" si="1"/>
        <v>2.0806928117709957</v>
      </c>
      <c r="AC24" s="6">
        <f t="shared" si="1"/>
        <v>2.1451942889358966</v>
      </c>
      <c r="AD24" s="6">
        <f t="shared" si="1"/>
        <v>2.211695311892909</v>
      </c>
      <c r="AE24" s="6">
        <f t="shared" si="1"/>
        <v>2.2802578665615894</v>
      </c>
      <c r="AF24" s="6">
        <f t="shared" si="1"/>
        <v>2.3509458604249986</v>
      </c>
      <c r="AG24" s="6">
        <f t="shared" si="1"/>
        <v>2.4238251820981733</v>
      </c>
    </row>
    <row r="25" spans="1:33" s="6" customFormat="1" x14ac:dyDescent="0.2"/>
    <row r="26" spans="1:33" s="8" customFormat="1" x14ac:dyDescent="0.2">
      <c r="A26" s="8" t="s">
        <v>24</v>
      </c>
      <c r="D26" s="8">
        <f>C14</f>
        <v>7126.3620000000001</v>
      </c>
      <c r="E26" s="8">
        <f>D26*(1-C15/100)</f>
        <v>7069.3511040000003</v>
      </c>
      <c r="F26" s="8">
        <f>E26*(1-$C$16/100)</f>
        <v>7034.0043484799999</v>
      </c>
      <c r="G26" s="8">
        <f t="shared" ref="G26:AG26" si="2">F26*(1-$C$16/100)</f>
        <v>6998.8343267375994</v>
      </c>
      <c r="H26" s="8">
        <f t="shared" si="2"/>
        <v>6963.8401551039115</v>
      </c>
      <c r="I26" s="8">
        <f t="shared" si="2"/>
        <v>6929.0209543283918</v>
      </c>
      <c r="J26" s="8">
        <f t="shared" si="2"/>
        <v>6894.3758495567499</v>
      </c>
      <c r="K26" s="8">
        <f t="shared" si="2"/>
        <v>6859.9039703089666</v>
      </c>
      <c r="L26" s="8">
        <f t="shared" si="2"/>
        <v>6825.604450457422</v>
      </c>
      <c r="M26" s="8">
        <f t="shared" si="2"/>
        <v>6791.4764282051347</v>
      </c>
      <c r="N26" s="8">
        <f t="shared" si="2"/>
        <v>6757.5190460641088</v>
      </c>
      <c r="O26" s="8">
        <f t="shared" si="2"/>
        <v>6723.7314508337886</v>
      </c>
      <c r="P26" s="8">
        <f t="shared" si="2"/>
        <v>6690.1127935796194</v>
      </c>
      <c r="Q26" s="8">
        <f t="shared" si="2"/>
        <v>6656.6622296117212</v>
      </c>
      <c r="R26" s="8">
        <f t="shared" si="2"/>
        <v>6623.3789184636626</v>
      </c>
      <c r="S26" s="8">
        <f t="shared" si="2"/>
        <v>6590.2620238713444</v>
      </c>
      <c r="T26" s="8">
        <f t="shared" si="2"/>
        <v>6557.3107137519874</v>
      </c>
      <c r="U26" s="8">
        <f t="shared" si="2"/>
        <v>6524.5241601832277</v>
      </c>
      <c r="V26" s="8">
        <f t="shared" si="2"/>
        <v>6491.9015393823111</v>
      </c>
      <c r="W26" s="8">
        <f t="shared" si="2"/>
        <v>6459.4420316853993</v>
      </c>
      <c r="X26" s="8">
        <f t="shared" si="2"/>
        <v>6427.144821526972</v>
      </c>
      <c r="Y26" s="8">
        <f t="shared" si="2"/>
        <v>6395.0090974193372</v>
      </c>
      <c r="Z26" s="8">
        <f t="shared" si="2"/>
        <v>6363.0340519322408</v>
      </c>
      <c r="AA26" s="8">
        <f t="shared" si="2"/>
        <v>6331.2188816725793</v>
      </c>
      <c r="AB26" s="8">
        <f t="shared" si="2"/>
        <v>6299.5627872642162</v>
      </c>
      <c r="AC26" s="8">
        <f t="shared" si="2"/>
        <v>6268.0649733278951</v>
      </c>
      <c r="AD26" s="8">
        <f t="shared" si="2"/>
        <v>6236.724648461256</v>
      </c>
      <c r="AE26" s="8">
        <f t="shared" si="2"/>
        <v>6205.5410252189495</v>
      </c>
      <c r="AF26" s="8">
        <f t="shared" si="2"/>
        <v>6174.5133200928549</v>
      </c>
      <c r="AG26" s="8">
        <f t="shared" si="2"/>
        <v>6143.640753492391</v>
      </c>
    </row>
    <row r="27" spans="1:33" s="8" customFormat="1" x14ac:dyDescent="0.2">
      <c r="A27" s="8" t="s">
        <v>27</v>
      </c>
      <c r="D27" s="8">
        <f>(1-$C$17/100)*D26</f>
        <v>7126.3620000000001</v>
      </c>
      <c r="E27" s="8">
        <f t="shared" ref="E27:AG27" si="3">(1-$C$17/100)*E26</f>
        <v>7069.3511040000003</v>
      </c>
      <c r="F27" s="8">
        <f t="shared" si="3"/>
        <v>7034.0043484799999</v>
      </c>
      <c r="G27" s="8">
        <f t="shared" si="3"/>
        <v>6998.8343267375994</v>
      </c>
      <c r="H27" s="8">
        <f t="shared" si="3"/>
        <v>6963.8401551039115</v>
      </c>
      <c r="I27" s="8">
        <f t="shared" si="3"/>
        <v>6929.0209543283918</v>
      </c>
      <c r="J27" s="8">
        <f t="shared" si="3"/>
        <v>6894.3758495567499</v>
      </c>
      <c r="K27" s="8">
        <f t="shared" si="3"/>
        <v>6859.9039703089666</v>
      </c>
      <c r="L27" s="8">
        <f t="shared" si="3"/>
        <v>6825.604450457422</v>
      </c>
      <c r="M27" s="8">
        <f t="shared" si="3"/>
        <v>6791.4764282051347</v>
      </c>
      <c r="N27" s="8">
        <f t="shared" si="3"/>
        <v>6757.5190460641088</v>
      </c>
      <c r="O27" s="8">
        <f t="shared" si="3"/>
        <v>6723.7314508337886</v>
      </c>
      <c r="P27" s="8">
        <f t="shared" si="3"/>
        <v>6690.1127935796194</v>
      </c>
      <c r="Q27" s="8">
        <f t="shared" si="3"/>
        <v>6656.6622296117212</v>
      </c>
      <c r="R27" s="8">
        <f t="shared" si="3"/>
        <v>6623.3789184636626</v>
      </c>
      <c r="S27" s="8">
        <f t="shared" si="3"/>
        <v>6590.2620238713444</v>
      </c>
      <c r="T27" s="8">
        <f t="shared" si="3"/>
        <v>6557.3107137519874</v>
      </c>
      <c r="U27" s="8">
        <f t="shared" si="3"/>
        <v>6524.5241601832277</v>
      </c>
      <c r="V27" s="8">
        <f t="shared" si="3"/>
        <v>6491.9015393823111</v>
      </c>
      <c r="W27" s="8">
        <f t="shared" si="3"/>
        <v>6459.4420316853993</v>
      </c>
      <c r="X27" s="8">
        <f t="shared" si="3"/>
        <v>6427.144821526972</v>
      </c>
      <c r="Y27" s="8">
        <f t="shared" si="3"/>
        <v>6395.0090974193372</v>
      </c>
      <c r="Z27" s="8">
        <f t="shared" si="3"/>
        <v>6363.0340519322408</v>
      </c>
      <c r="AA27" s="8">
        <f t="shared" si="3"/>
        <v>6331.2188816725793</v>
      </c>
      <c r="AB27" s="8">
        <f t="shared" si="3"/>
        <v>6299.5627872642162</v>
      </c>
      <c r="AC27" s="8">
        <f t="shared" si="3"/>
        <v>6268.0649733278951</v>
      </c>
      <c r="AD27" s="8">
        <f t="shared" si="3"/>
        <v>6236.724648461256</v>
      </c>
      <c r="AE27" s="8">
        <f t="shared" si="3"/>
        <v>6205.5410252189495</v>
      </c>
      <c r="AF27" s="8">
        <f t="shared" si="3"/>
        <v>6174.5133200928549</v>
      </c>
      <c r="AG27" s="8">
        <f t="shared" si="3"/>
        <v>6143.640753492391</v>
      </c>
    </row>
    <row r="29" spans="1:33" x14ac:dyDescent="0.2">
      <c r="A29" t="s">
        <v>28</v>
      </c>
      <c r="D29" s="3">
        <f>C19</f>
        <v>148.91999999999999</v>
      </c>
      <c r="E29" s="3">
        <f>D29*(1+$C$20/100)</f>
        <v>151.89839999999998</v>
      </c>
      <c r="F29" s="3">
        <f t="shared" ref="F29:AG29" si="4">E29*(1+$C$20/100)</f>
        <v>154.93636799999999</v>
      </c>
      <c r="G29" s="3">
        <f t="shared" si="4"/>
        <v>158.03509535999999</v>
      </c>
      <c r="H29" s="3">
        <f t="shared" si="4"/>
        <v>161.19579726719999</v>
      </c>
      <c r="I29" s="3">
        <f t="shared" si="4"/>
        <v>164.419713212544</v>
      </c>
      <c r="J29" s="3">
        <f t="shared" si="4"/>
        <v>167.70810747679488</v>
      </c>
      <c r="K29" s="3">
        <f t="shared" si="4"/>
        <v>171.06226962633079</v>
      </c>
      <c r="L29" s="3">
        <f t="shared" si="4"/>
        <v>174.48351501885742</v>
      </c>
      <c r="M29" s="3">
        <f t="shared" si="4"/>
        <v>177.97318531923457</v>
      </c>
      <c r="N29" s="3">
        <f t="shared" si="4"/>
        <v>181.53264902561926</v>
      </c>
      <c r="O29" s="3">
        <f t="shared" si="4"/>
        <v>185.16330200613166</v>
      </c>
      <c r="P29" s="3">
        <f t="shared" si="4"/>
        <v>188.86656804625429</v>
      </c>
      <c r="Q29" s="3">
        <f t="shared" si="4"/>
        <v>192.64389940717936</v>
      </c>
      <c r="R29" s="3">
        <f t="shared" si="4"/>
        <v>196.49677739532297</v>
      </c>
      <c r="S29" s="3">
        <f t="shared" si="4"/>
        <v>200.42671294322943</v>
      </c>
      <c r="T29" s="3">
        <f t="shared" si="4"/>
        <v>204.43524720209402</v>
      </c>
      <c r="U29" s="3">
        <f t="shared" si="4"/>
        <v>208.52395214613591</v>
      </c>
      <c r="V29" s="3">
        <f t="shared" si="4"/>
        <v>212.69443118905863</v>
      </c>
      <c r="W29" s="3">
        <f t="shared" si="4"/>
        <v>216.9483198128398</v>
      </c>
      <c r="X29" s="3">
        <f t="shared" si="4"/>
        <v>221.28728620909661</v>
      </c>
      <c r="Y29" s="3">
        <f t="shared" si="4"/>
        <v>225.71303193327853</v>
      </c>
      <c r="Z29" s="3">
        <f t="shared" si="4"/>
        <v>230.2272925719441</v>
      </c>
      <c r="AA29" s="3">
        <f t="shared" si="4"/>
        <v>234.831838423383</v>
      </c>
      <c r="AB29" s="3">
        <f t="shared" si="4"/>
        <v>239.52847519185067</v>
      </c>
      <c r="AC29" s="3">
        <f t="shared" si="4"/>
        <v>244.31904469568769</v>
      </c>
      <c r="AD29" s="3">
        <f t="shared" si="4"/>
        <v>249.20542558960145</v>
      </c>
      <c r="AE29" s="3">
        <f t="shared" si="4"/>
        <v>254.18953410139349</v>
      </c>
      <c r="AF29" s="3">
        <f t="shared" si="4"/>
        <v>259.27332478342134</v>
      </c>
      <c r="AG29" s="3">
        <f t="shared" si="4"/>
        <v>264.45879127908978</v>
      </c>
    </row>
    <row r="31" spans="1:33" s="5" customFormat="1" x14ac:dyDescent="0.2">
      <c r="A31" s="4" t="s">
        <v>30</v>
      </c>
    </row>
    <row r="32" spans="1:33" s="10" customFormat="1" x14ac:dyDescent="0.2">
      <c r="A32" s="9" t="s">
        <v>22</v>
      </c>
      <c r="C32" s="10">
        <v>0</v>
      </c>
      <c r="D32" s="10">
        <f>C32+1</f>
        <v>1</v>
      </c>
      <c r="E32" s="10">
        <f t="shared" ref="E32:AF32" si="5">D32+1</f>
        <v>2</v>
      </c>
      <c r="F32" s="10">
        <f t="shared" si="5"/>
        <v>3</v>
      </c>
      <c r="G32" s="10">
        <f t="shared" si="5"/>
        <v>4</v>
      </c>
      <c r="H32" s="10">
        <f t="shared" si="5"/>
        <v>5</v>
      </c>
      <c r="I32" s="10">
        <f t="shared" si="5"/>
        <v>6</v>
      </c>
      <c r="J32" s="10">
        <f t="shared" si="5"/>
        <v>7</v>
      </c>
      <c r="K32" s="10">
        <f t="shared" si="5"/>
        <v>8</v>
      </c>
      <c r="L32" s="10">
        <f t="shared" si="5"/>
        <v>9</v>
      </c>
      <c r="M32" s="10">
        <f t="shared" si="5"/>
        <v>10</v>
      </c>
      <c r="N32" s="10">
        <f t="shared" si="5"/>
        <v>11</v>
      </c>
      <c r="O32" s="10">
        <f t="shared" si="5"/>
        <v>12</v>
      </c>
      <c r="P32" s="10">
        <f t="shared" si="5"/>
        <v>13</v>
      </c>
      <c r="Q32" s="10">
        <f t="shared" si="5"/>
        <v>14</v>
      </c>
      <c r="R32" s="10">
        <f t="shared" si="5"/>
        <v>15</v>
      </c>
      <c r="S32" s="10">
        <f t="shared" si="5"/>
        <v>16</v>
      </c>
      <c r="T32" s="10">
        <f t="shared" si="5"/>
        <v>17</v>
      </c>
      <c r="U32" s="10">
        <f t="shared" si="5"/>
        <v>18</v>
      </c>
      <c r="V32" s="10">
        <f t="shared" si="5"/>
        <v>19</v>
      </c>
      <c r="W32" s="10">
        <f t="shared" si="5"/>
        <v>20</v>
      </c>
      <c r="X32" s="10">
        <f t="shared" si="5"/>
        <v>21</v>
      </c>
      <c r="Y32" s="10">
        <f t="shared" si="5"/>
        <v>22</v>
      </c>
      <c r="Z32" s="10">
        <f t="shared" si="5"/>
        <v>23</v>
      </c>
      <c r="AA32" s="10">
        <f t="shared" si="5"/>
        <v>24</v>
      </c>
      <c r="AB32" s="10">
        <f>AA32+1</f>
        <v>25</v>
      </c>
      <c r="AC32" s="10">
        <f t="shared" si="5"/>
        <v>26</v>
      </c>
      <c r="AD32" s="10">
        <f t="shared" si="5"/>
        <v>27</v>
      </c>
      <c r="AE32" s="10">
        <f t="shared" si="5"/>
        <v>28</v>
      </c>
      <c r="AF32" s="10">
        <f t="shared" si="5"/>
        <v>29</v>
      </c>
      <c r="AG32" s="10">
        <f>AF32+1</f>
        <v>30</v>
      </c>
    </row>
    <row r="33" spans="1:33" x14ac:dyDescent="0.2">
      <c r="A33" t="s">
        <v>31</v>
      </c>
      <c r="D33" s="3">
        <f>D29*D27</f>
        <v>1061257.82904</v>
      </c>
      <c r="E33" s="3">
        <f t="shared" ref="E33:AG33" si="6">E29*E27</f>
        <v>1073823.1217358336</v>
      </c>
      <c r="F33" s="3">
        <f t="shared" si="6"/>
        <v>1089823.0862496975</v>
      </c>
      <c r="G33" s="3">
        <f t="shared" si="6"/>
        <v>1106061.4502348178</v>
      </c>
      <c r="H33" s="3">
        <f t="shared" si="6"/>
        <v>1122541.7658433167</v>
      </c>
      <c r="I33" s="3">
        <f t="shared" si="6"/>
        <v>1139267.6381543821</v>
      </c>
      <c r="J33" s="3">
        <f t="shared" si="6"/>
        <v>1156242.7259628824</v>
      </c>
      <c r="K33" s="3">
        <f t="shared" si="6"/>
        <v>1173470.7425797295</v>
      </c>
      <c r="L33" s="3">
        <f t="shared" si="6"/>
        <v>1190955.4566441677</v>
      </c>
      <c r="M33" s="3">
        <f t="shared" si="6"/>
        <v>1208700.6929481658</v>
      </c>
      <c r="N33" s="3">
        <f t="shared" si="6"/>
        <v>1226710.3332730934</v>
      </c>
      <c r="O33" s="3">
        <f t="shared" si="6"/>
        <v>1244988.3172388626</v>
      </c>
      <c r="P33" s="3">
        <f t="shared" si="6"/>
        <v>1263538.6431657216</v>
      </c>
      <c r="Q33" s="3">
        <f t="shared" si="6"/>
        <v>1282365.3689488906</v>
      </c>
      <c r="R33" s="3">
        <f t="shared" si="6"/>
        <v>1301472.6129462293</v>
      </c>
      <c r="S33" s="3">
        <f t="shared" si="6"/>
        <v>1320864.5548791282</v>
      </c>
      <c r="T33" s="3">
        <f t="shared" si="6"/>
        <v>1340545.4367468271</v>
      </c>
      <c r="U33" s="3">
        <f t="shared" si="6"/>
        <v>1360519.5637543551</v>
      </c>
      <c r="V33" s="3">
        <f t="shared" si="6"/>
        <v>1380791.3052542948</v>
      </c>
      <c r="W33" s="3">
        <f t="shared" si="6"/>
        <v>1401365.0957025837</v>
      </c>
      <c r="X33" s="3">
        <f t="shared" si="6"/>
        <v>1422245.4356285522</v>
      </c>
      <c r="Y33" s="3">
        <f t="shared" si="6"/>
        <v>1443436.8926194175</v>
      </c>
      <c r="Z33" s="3">
        <f t="shared" si="6"/>
        <v>1464944.1023194471</v>
      </c>
      <c r="AA33" s="3">
        <f t="shared" si="6"/>
        <v>1486771.7694440067</v>
      </c>
      <c r="AB33" s="3">
        <f t="shared" si="6"/>
        <v>1508924.6688087224</v>
      </c>
      <c r="AC33" s="3">
        <f t="shared" si="6"/>
        <v>1531407.6463739725</v>
      </c>
      <c r="AD33" s="3">
        <f t="shared" si="6"/>
        <v>1554225.6203049447</v>
      </c>
      <c r="AE33" s="3">
        <f t="shared" si="6"/>
        <v>1577383.5820474885</v>
      </c>
      <c r="AF33" s="3">
        <f t="shared" si="6"/>
        <v>1600886.597419996</v>
      </c>
      <c r="AG33" s="3">
        <f t="shared" si="6"/>
        <v>1624739.8077215541</v>
      </c>
    </row>
    <row r="34" spans="1:33" x14ac:dyDescent="0.2">
      <c r="A34" t="s">
        <v>32</v>
      </c>
      <c r="D34" s="3">
        <f>-C6</f>
        <v>-100000</v>
      </c>
      <c r="E34" s="3">
        <f>$D$34*E24</f>
        <v>-103099.99999999999</v>
      </c>
      <c r="F34" s="3">
        <f t="shared" ref="F34:AG34" si="7">$D$34*F24</f>
        <v>-106296.09999999998</v>
      </c>
      <c r="G34" s="3">
        <f t="shared" si="7"/>
        <v>-109591.27909999997</v>
      </c>
      <c r="H34" s="3">
        <f t="shared" si="7"/>
        <v>-112988.60875209997</v>
      </c>
      <c r="I34" s="3">
        <f t="shared" si="7"/>
        <v>-116491.25562341507</v>
      </c>
      <c r="J34" s="3">
        <f t="shared" si="7"/>
        <v>-120102.48454774093</v>
      </c>
      <c r="K34" s="3">
        <f t="shared" si="7"/>
        <v>-123825.66156872088</v>
      </c>
      <c r="L34" s="3">
        <f t="shared" si="7"/>
        <v>-127664.25707735123</v>
      </c>
      <c r="M34" s="3">
        <f t="shared" si="7"/>
        <v>-131621.84904674909</v>
      </c>
      <c r="N34" s="3">
        <f t="shared" si="7"/>
        <v>-135702.1263671983</v>
      </c>
      <c r="O34" s="3">
        <f t="shared" si="7"/>
        <v>-139908.89228458147</v>
      </c>
      <c r="P34" s="3">
        <f t="shared" si="7"/>
        <v>-144246.06794540348</v>
      </c>
      <c r="Q34" s="3">
        <f t="shared" si="7"/>
        <v>-148717.69605171098</v>
      </c>
      <c r="R34" s="3">
        <f t="shared" si="7"/>
        <v>-153327.94462931401</v>
      </c>
      <c r="S34" s="3">
        <f t="shared" si="7"/>
        <v>-158081.11091282274</v>
      </c>
      <c r="T34" s="3">
        <f t="shared" si="7"/>
        <v>-162981.62535112025</v>
      </c>
      <c r="U34" s="3">
        <f t="shared" si="7"/>
        <v>-168034.05573700496</v>
      </c>
      <c r="V34" s="3">
        <f t="shared" si="7"/>
        <v>-173243.11146485209</v>
      </c>
      <c r="W34" s="3">
        <f t="shared" si="7"/>
        <v>-178613.64792026248</v>
      </c>
      <c r="X34" s="3">
        <f t="shared" si="7"/>
        <v>-184150.67100579065</v>
      </c>
      <c r="Y34" s="3">
        <f t="shared" si="7"/>
        <v>-189859.34180697013</v>
      </c>
      <c r="Z34" s="3">
        <f t="shared" si="7"/>
        <v>-195744.98140298619</v>
      </c>
      <c r="AA34" s="3">
        <f t="shared" si="7"/>
        <v>-201813.07582647877</v>
      </c>
      <c r="AB34" s="3">
        <f t="shared" si="7"/>
        <v>-208069.28117709956</v>
      </c>
      <c r="AC34" s="3">
        <f t="shared" si="7"/>
        <v>-214519.42889358965</v>
      </c>
      <c r="AD34" s="3">
        <f t="shared" si="7"/>
        <v>-221169.53118929089</v>
      </c>
      <c r="AE34" s="3">
        <f t="shared" si="7"/>
        <v>-228025.78665615895</v>
      </c>
      <c r="AF34" s="3">
        <f t="shared" si="7"/>
        <v>-235094.58604249987</v>
      </c>
      <c r="AG34" s="3">
        <f t="shared" si="7"/>
        <v>-242382.51820981732</v>
      </c>
    </row>
    <row r="35" spans="1:33" x14ac:dyDescent="0.2">
      <c r="A35" t="s">
        <v>33</v>
      </c>
      <c r="D35" s="3">
        <f>D33+D34</f>
        <v>961257.82903999998</v>
      </c>
      <c r="E35" s="3">
        <f t="shared" ref="E35:AG35" si="8">E33+E34</f>
        <v>970723.12173583359</v>
      </c>
      <c r="F35" s="3">
        <f t="shared" si="8"/>
        <v>983526.98624969751</v>
      </c>
      <c r="G35" s="3">
        <f t="shared" si="8"/>
        <v>996470.17113481788</v>
      </c>
      <c r="H35" s="3">
        <f t="shared" si="8"/>
        <v>1009553.1570912166</v>
      </c>
      <c r="I35" s="3">
        <f t="shared" si="8"/>
        <v>1022776.382530967</v>
      </c>
      <c r="J35" s="3">
        <f t="shared" si="8"/>
        <v>1036140.2414151415</v>
      </c>
      <c r="K35" s="3">
        <f t="shared" si="8"/>
        <v>1049645.0810110087</v>
      </c>
      <c r="L35" s="3">
        <f t="shared" si="8"/>
        <v>1063291.1995668164</v>
      </c>
      <c r="M35" s="3">
        <f t="shared" si="8"/>
        <v>1077078.8439014168</v>
      </c>
      <c r="N35" s="3">
        <f t="shared" si="8"/>
        <v>1091008.2069058951</v>
      </c>
      <c r="O35" s="3">
        <f t="shared" si="8"/>
        <v>1105079.4249542812</v>
      </c>
      <c r="P35" s="3">
        <f t="shared" si="8"/>
        <v>1119292.575220318</v>
      </c>
      <c r="Q35" s="3">
        <f t="shared" si="8"/>
        <v>1133647.6728971796</v>
      </c>
      <c r="R35" s="3">
        <f t="shared" si="8"/>
        <v>1148144.6683169152</v>
      </c>
      <c r="S35" s="3">
        <f t="shared" si="8"/>
        <v>1162783.4439663056</v>
      </c>
      <c r="T35" s="3">
        <f t="shared" si="8"/>
        <v>1177563.8113957068</v>
      </c>
      <c r="U35" s="3">
        <f t="shared" si="8"/>
        <v>1192485.50801735</v>
      </c>
      <c r="V35" s="3">
        <f t="shared" si="8"/>
        <v>1207548.1937894428</v>
      </c>
      <c r="W35" s="3">
        <f t="shared" si="8"/>
        <v>1222751.4477823211</v>
      </c>
      <c r="X35" s="3">
        <f t="shared" si="8"/>
        <v>1238094.7646227616</v>
      </c>
      <c r="Y35" s="3">
        <f t="shared" si="8"/>
        <v>1253577.5508124474</v>
      </c>
      <c r="Z35" s="3">
        <f t="shared" si="8"/>
        <v>1269199.1209164609</v>
      </c>
      <c r="AA35" s="3">
        <f t="shared" si="8"/>
        <v>1284958.6936175278</v>
      </c>
      <c r="AB35" s="3">
        <f t="shared" si="8"/>
        <v>1300855.3876316228</v>
      </c>
      <c r="AC35" s="3">
        <f t="shared" si="8"/>
        <v>1316888.2174803829</v>
      </c>
      <c r="AD35" s="3">
        <f t="shared" si="8"/>
        <v>1333056.0891156539</v>
      </c>
      <c r="AE35" s="3">
        <f t="shared" si="8"/>
        <v>1349357.7953913296</v>
      </c>
      <c r="AF35" s="3">
        <f t="shared" si="8"/>
        <v>1365792.0113774962</v>
      </c>
      <c r="AG35" s="3">
        <f t="shared" si="8"/>
        <v>1382357.2895117367</v>
      </c>
    </row>
    <row r="37" spans="1:33" x14ac:dyDescent="0.2">
      <c r="A37" t="s">
        <v>34</v>
      </c>
      <c r="C37" s="3">
        <f>-C5</f>
        <v>-9200000</v>
      </c>
    </row>
    <row r="39" spans="1:33" x14ac:dyDescent="0.2">
      <c r="A39" t="s">
        <v>45</v>
      </c>
      <c r="C39" s="3">
        <f>C37+C35</f>
        <v>-9200000</v>
      </c>
      <c r="D39" s="3">
        <f t="shared" ref="D39:AG39" si="9">D37+D35</f>
        <v>961257.82903999998</v>
      </c>
      <c r="E39" s="3">
        <f t="shared" si="9"/>
        <v>970723.12173583359</v>
      </c>
      <c r="F39" s="3">
        <f t="shared" si="9"/>
        <v>983526.98624969751</v>
      </c>
      <c r="G39" s="3">
        <f t="shared" si="9"/>
        <v>996470.17113481788</v>
      </c>
      <c r="H39" s="3">
        <f t="shared" si="9"/>
        <v>1009553.1570912166</v>
      </c>
      <c r="I39" s="3">
        <f t="shared" si="9"/>
        <v>1022776.382530967</v>
      </c>
      <c r="J39" s="3">
        <f t="shared" si="9"/>
        <v>1036140.2414151415</v>
      </c>
      <c r="K39" s="3">
        <f t="shared" si="9"/>
        <v>1049645.0810110087</v>
      </c>
      <c r="L39" s="3">
        <f t="shared" si="9"/>
        <v>1063291.1995668164</v>
      </c>
      <c r="M39" s="3">
        <f t="shared" si="9"/>
        <v>1077078.8439014168</v>
      </c>
      <c r="N39" s="3">
        <f t="shared" si="9"/>
        <v>1091008.2069058951</v>
      </c>
      <c r="O39" s="3">
        <f t="shared" si="9"/>
        <v>1105079.4249542812</v>
      </c>
      <c r="P39" s="3">
        <f t="shared" si="9"/>
        <v>1119292.575220318</v>
      </c>
      <c r="Q39" s="3">
        <f t="shared" si="9"/>
        <v>1133647.6728971796</v>
      </c>
      <c r="R39" s="3">
        <f t="shared" si="9"/>
        <v>1148144.6683169152</v>
      </c>
      <c r="S39" s="3">
        <f t="shared" si="9"/>
        <v>1162783.4439663056</v>
      </c>
      <c r="T39" s="3">
        <f t="shared" si="9"/>
        <v>1177563.8113957068</v>
      </c>
      <c r="U39" s="3">
        <f t="shared" si="9"/>
        <v>1192485.50801735</v>
      </c>
      <c r="V39" s="3">
        <f t="shared" si="9"/>
        <v>1207548.1937894428</v>
      </c>
      <c r="W39" s="3">
        <f t="shared" si="9"/>
        <v>1222751.4477823211</v>
      </c>
      <c r="X39" s="3">
        <f t="shared" si="9"/>
        <v>1238094.7646227616</v>
      </c>
      <c r="Y39" s="3">
        <f t="shared" si="9"/>
        <v>1253577.5508124474</v>
      </c>
      <c r="Z39" s="3">
        <f t="shared" si="9"/>
        <v>1269199.1209164609</v>
      </c>
      <c r="AA39" s="3">
        <f t="shared" si="9"/>
        <v>1284958.6936175278</v>
      </c>
      <c r="AB39" s="3">
        <f t="shared" si="9"/>
        <v>1300855.3876316228</v>
      </c>
      <c r="AC39" s="3">
        <f t="shared" si="9"/>
        <v>1316888.2174803829</v>
      </c>
      <c r="AD39" s="3">
        <f t="shared" si="9"/>
        <v>1333056.0891156539</v>
      </c>
      <c r="AE39" s="3">
        <f t="shared" si="9"/>
        <v>1349357.7953913296</v>
      </c>
      <c r="AF39" s="3">
        <f t="shared" si="9"/>
        <v>1365792.0113774962</v>
      </c>
      <c r="AG39" s="3">
        <f t="shared" si="9"/>
        <v>1382357.2895117367</v>
      </c>
    </row>
    <row r="40" spans="1:33" x14ac:dyDescent="0.2">
      <c r="A40" s="1" t="s">
        <v>35</v>
      </c>
      <c r="B40" s="1"/>
      <c r="C40" s="12">
        <f>NPV(C10/100,C39:AG39)</f>
        <v>4067091.0005352832</v>
      </c>
    </row>
    <row r="41" spans="1:33" x14ac:dyDescent="0.2">
      <c r="A41" s="1" t="s">
        <v>36</v>
      </c>
      <c r="B41" s="1"/>
      <c r="C41" s="21">
        <f>IRR(C39:AG39)</f>
        <v>0.11056060502699183</v>
      </c>
    </row>
    <row r="43" spans="1:33" x14ac:dyDescent="0.2">
      <c r="A43" t="s">
        <v>4</v>
      </c>
    </row>
  </sheetData>
  <mergeCells count="2">
    <mergeCell ref="H2:I2"/>
    <mergeCell ref="J2:K2"/>
  </mergeCells>
  <hyperlinks>
    <hyperlink ref="E7" r:id="rId1" xr:uid="{56169594-649E-4B04-92E1-980479CF8DE5}"/>
    <hyperlink ref="E8" r:id="rId2" xr:uid="{56B36A41-CF1F-4E52-8F62-8147FA97BEA0}"/>
  </hyperlinks>
  <pageMargins left="0.7" right="0.7" top="0.75" bottom="0.75" header="0.3" footer="0.3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D833-E53A-1844-A247-3C2D44E12536}">
  <dimension ref="A1:AG4"/>
  <sheetViews>
    <sheetView zoomScale="117" workbookViewId="0">
      <selection activeCell="B4" sqref="B4"/>
    </sheetView>
  </sheetViews>
  <sheetFormatPr baseColWidth="10" defaultColWidth="15.83203125" defaultRowHeight="16" x14ac:dyDescent="0.2"/>
  <sheetData>
    <row r="1" spans="1:33" x14ac:dyDescent="0.2">
      <c r="A1" t="s">
        <v>55</v>
      </c>
      <c r="B1">
        <f>(1-(1+'BPE Fixed WMO '!C10/100)^-'BPE Fixed WMO '!C2)/('BPE Fixed WMO '!C10/100)</f>
        <v>12.409041183505858</v>
      </c>
      <c r="C1" s="16" t="s">
        <v>22</v>
      </c>
      <c r="D1" s="10">
        <v>1</v>
      </c>
      <c r="E1" s="10">
        <f t="shared" ref="E1:AF1" si="0">D1+1</f>
        <v>2</v>
      </c>
      <c r="F1" s="10">
        <f t="shared" si="0"/>
        <v>3</v>
      </c>
      <c r="G1" s="10">
        <f t="shared" si="0"/>
        <v>4</v>
      </c>
      <c r="H1" s="10">
        <f t="shared" si="0"/>
        <v>5</v>
      </c>
      <c r="I1" s="10">
        <f t="shared" si="0"/>
        <v>6</v>
      </c>
      <c r="J1" s="10">
        <f t="shared" si="0"/>
        <v>7</v>
      </c>
      <c r="K1" s="10">
        <f t="shared" si="0"/>
        <v>8</v>
      </c>
      <c r="L1" s="10">
        <f t="shared" si="0"/>
        <v>9</v>
      </c>
      <c r="M1" s="10">
        <f t="shared" si="0"/>
        <v>10</v>
      </c>
      <c r="N1" s="10">
        <f t="shared" si="0"/>
        <v>11</v>
      </c>
      <c r="O1" s="10">
        <f t="shared" si="0"/>
        <v>12</v>
      </c>
      <c r="P1" s="10">
        <f t="shared" si="0"/>
        <v>13</v>
      </c>
      <c r="Q1" s="10">
        <f t="shared" si="0"/>
        <v>14</v>
      </c>
      <c r="R1" s="10">
        <f t="shared" si="0"/>
        <v>15</v>
      </c>
      <c r="S1" s="10">
        <f t="shared" si="0"/>
        <v>16</v>
      </c>
      <c r="T1" s="10">
        <f t="shared" si="0"/>
        <v>17</v>
      </c>
      <c r="U1" s="10">
        <f t="shared" si="0"/>
        <v>18</v>
      </c>
      <c r="V1" s="10">
        <f t="shared" si="0"/>
        <v>19</v>
      </c>
      <c r="W1" s="10">
        <f t="shared" si="0"/>
        <v>20</v>
      </c>
      <c r="X1" s="10">
        <f t="shared" si="0"/>
        <v>21</v>
      </c>
      <c r="Y1" s="10">
        <f t="shared" si="0"/>
        <v>22</v>
      </c>
      <c r="Z1" s="10">
        <f t="shared" si="0"/>
        <v>23</v>
      </c>
      <c r="AA1" s="10">
        <f t="shared" si="0"/>
        <v>24</v>
      </c>
      <c r="AB1" s="10">
        <f>AA1+1</f>
        <v>25</v>
      </c>
      <c r="AC1" s="10">
        <f t="shared" si="0"/>
        <v>26</v>
      </c>
      <c r="AD1" s="10">
        <f t="shared" si="0"/>
        <v>27</v>
      </c>
      <c r="AE1" s="10">
        <f t="shared" si="0"/>
        <v>28</v>
      </c>
      <c r="AF1" s="10">
        <f t="shared" si="0"/>
        <v>29</v>
      </c>
      <c r="AG1" s="10">
        <f>AF1+1</f>
        <v>30</v>
      </c>
    </row>
    <row r="2" spans="1:33" s="8" customFormat="1" x14ac:dyDescent="0.2">
      <c r="A2" s="8" t="s">
        <v>52</v>
      </c>
      <c r="B2" s="3">
        <f>'BPE Fixed WMO '!C5+'BPE Fixed WMO '!C6/'BPE LCOE Fixed WMO'!B1</f>
        <v>8565238.1162282228</v>
      </c>
      <c r="C2" s="17" t="s">
        <v>56</v>
      </c>
      <c r="D2" s="8">
        <f>'BPE Fixed WMO '!D27/(1+'BPE Fixed WMO '!$C$10/100)^(D1)</f>
        <v>5013.758691588785</v>
      </c>
      <c r="E2" s="8">
        <f>'BPE Fixed WMO '!E27/(1+'BPE Fixed WMO '!$C$10/100)^(E1)</f>
        <v>4648.2697402393223</v>
      </c>
      <c r="F2" s="8">
        <f>'BPE Fixed WMO '!F27/(1+'BPE Fixed WMO '!$C$10/100)^(F1)</f>
        <v>4322.4564406898371</v>
      </c>
      <c r="G2" s="8">
        <f>'BPE Fixed WMO '!G27/(1+'BPE Fixed WMO '!$C$10/100)^(G1)</f>
        <v>4019.4805219498953</v>
      </c>
      <c r="H2" s="8">
        <f>'BPE Fixed WMO '!H27/(1+'BPE Fixed WMO '!$C$10/100)^(H1)</f>
        <v>3737.7412330281732</v>
      </c>
      <c r="I2" s="8">
        <f>'BPE Fixed WMO '!I27/(1+'BPE Fixed WMO '!$C$10/100)^(I1)</f>
        <v>3475.7500251056381</v>
      </c>
      <c r="J2" s="8">
        <f>'BPE Fixed WMO '!J27/(1+'BPE Fixed WMO '!$C$10/100)^(J1)</f>
        <v>3232.1226868972985</v>
      </c>
      <c r="K2" s="8">
        <f>'BPE Fixed WMO '!K27/(1+'BPE Fixed WMO '!$C$10/100)^(K1)</f>
        <v>3005.5720312736566</v>
      </c>
      <c r="L2" s="8">
        <f>'BPE Fixed WMO '!L27/(1+'BPE Fixed WMO '!$C$10/100)^(L1)</f>
        <v>2794.9010945021382</v>
      </c>
      <c r="M2" s="8">
        <f>'BPE Fixed WMO '!M27/(1+'BPE Fixed WMO '!$C$10/100)^(M1)</f>
        <v>2598.9968121772222</v>
      </c>
      <c r="N2" s="8">
        <f>'BPE Fixed WMO '!N27/(1+'BPE Fixed WMO '!$C$10/100)^(N1)</f>
        <v>2416.824138426482</v>
      </c>
      <c r="O2" s="8">
        <f>'BPE Fixed WMO '!O27/(1+'BPE Fixed WMO '!$C$10/100)^(O1)</f>
        <v>2247.4205773218227</v>
      </c>
      <c r="P2" s="8">
        <f>'BPE Fixed WMO '!P27/(1+'BPE Fixed WMO '!$C$10/100)^(P1)</f>
        <v>2089.8910976030033</v>
      </c>
      <c r="Q2" s="8">
        <f>'BPE Fixed WMO '!Q27/(1+'BPE Fixed WMO '!$C$10/100)^(Q1)</f>
        <v>1943.4034038457835</v>
      </c>
      <c r="R2" s="8">
        <f>'BPE Fixed WMO '!R27/(1+'BPE Fixed WMO '!$C$10/100)^(R1)</f>
        <v>1807.1835390902377</v>
      </c>
      <c r="S2" s="8">
        <f>'BPE Fixed WMO '!S27/(1+'BPE Fixed WMO '!$C$10/100)^(S1)</f>
        <v>1680.5117956960626</v>
      </c>
      <c r="T2" s="8">
        <f>'BPE Fixed WMO '!T27/(1+'BPE Fixed WMO '!$C$10/100)^(T1)</f>
        <v>1562.7189128201703</v>
      </c>
      <c r="U2" s="8">
        <f>'BPE Fixed WMO '!U27/(1+'BPE Fixed WMO '!$C$10/100)^(U1)</f>
        <v>1453.1825404262329</v>
      </c>
      <c r="V2" s="8">
        <f>'BPE Fixed WMO '!V27/(1+'BPE Fixed WMO '!$C$10/100)^(V1)</f>
        <v>1351.3239511440202</v>
      </c>
      <c r="W2" s="8">
        <f>'BPE Fixed WMO '!W27/(1+'BPE Fixed WMO '!$C$10/100)^(W1)</f>
        <v>1256.6049826058882</v>
      </c>
      <c r="X2" s="8">
        <f>'BPE Fixed WMO '!X27/(1+'BPE Fixed WMO '!$C$10/100)^(X1)</f>
        <v>1168.5251941054753</v>
      </c>
      <c r="Y2" s="8">
        <f>'BPE Fixed WMO '!Y27/(1+'BPE Fixed WMO '!$C$10/100)^(Y1)</f>
        <v>1086.6192225560262</v>
      </c>
      <c r="Z2" s="8">
        <f>'BPE Fixed WMO '!Z27/(1+'BPE Fixed WMO '!$C$10/100)^(Z1)</f>
        <v>1010.4543237787345</v>
      </c>
      <c r="AA2" s="8">
        <f>'BPE Fixed WMO '!AA27/(1+'BPE Fixed WMO '!$C$10/100)^(AA1)</f>
        <v>939.62808613069228</v>
      </c>
      <c r="AB2" s="8">
        <f>'BPE Fixed WMO '!AB27/(1+'BPE Fixed WMO '!$C$10/100)^(AB1)</f>
        <v>873.76630439255962</v>
      </c>
      <c r="AC2" s="8">
        <f>'BPE Fixed WMO '!AC27/(1+'BPE Fixed WMO '!$C$10/100)^(AC1)</f>
        <v>812.52100268280083</v>
      </c>
      <c r="AD2" s="8">
        <f>'BPE Fixed WMO '!AD27/(1+'BPE Fixed WMO '!$C$10/100)^(AD1)</f>
        <v>755.56859595269782</v>
      </c>
      <c r="AE2" s="8">
        <f>'BPE Fixed WMO '!AE27/(1+'BPE Fixed WMO '!$C$10/100)^(AE1)</f>
        <v>702.60818034853685</v>
      </c>
      <c r="AF2" s="8">
        <f>'BPE Fixed WMO '!AF27/(1+'BPE Fixed WMO '!$C$10/100)^(AF1)</f>
        <v>653.35994340821878</v>
      </c>
      <c r="AG2" s="8">
        <f>'BPE Fixed WMO '!AG27/(1+'BPE Fixed WMO '!$C$10/100)^(AG1)</f>
        <v>607.56368569268955</v>
      </c>
    </row>
    <row r="3" spans="1:33" x14ac:dyDescent="0.2">
      <c r="A3" t="s">
        <v>53</v>
      </c>
      <c r="B3" s="8">
        <f>SUM(D2:AG2)</f>
        <v>63268.728755480093</v>
      </c>
    </row>
    <row r="4" spans="1:33" x14ac:dyDescent="0.2">
      <c r="A4" s="1" t="s">
        <v>51</v>
      </c>
      <c r="B4" s="14">
        <f>B2/B3</f>
        <v>135.37869789246136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1A71-FD2D-49F5-8B82-6CE08D5C0E98}">
  <dimension ref="A1:AG4"/>
  <sheetViews>
    <sheetView zoomScale="117" workbookViewId="0">
      <selection activeCell="B1" sqref="B1"/>
    </sheetView>
  </sheetViews>
  <sheetFormatPr baseColWidth="10" defaultColWidth="15.83203125" defaultRowHeight="16" x14ac:dyDescent="0.2"/>
  <sheetData>
    <row r="1" spans="1:33" x14ac:dyDescent="0.2">
      <c r="A1" t="s">
        <v>55</v>
      </c>
      <c r="B1">
        <f>(1-(1+'[1]Track WMO '!C10/100)^-'[1]Track WMO '!C2)/('[1]Track WMO '!C10/100)</f>
        <v>12.409041183505858</v>
      </c>
      <c r="C1" s="16" t="s">
        <v>22</v>
      </c>
      <c r="D1" s="10">
        <v>1</v>
      </c>
      <c r="E1" s="10">
        <f t="shared" ref="E1:AF1" si="0">D1+1</f>
        <v>2</v>
      </c>
      <c r="F1" s="10">
        <f t="shared" si="0"/>
        <v>3</v>
      </c>
      <c r="G1" s="10">
        <f t="shared" si="0"/>
        <v>4</v>
      </c>
      <c r="H1" s="10">
        <f t="shared" si="0"/>
        <v>5</v>
      </c>
      <c r="I1" s="10">
        <f t="shared" si="0"/>
        <v>6</v>
      </c>
      <c r="J1" s="10">
        <f t="shared" si="0"/>
        <v>7</v>
      </c>
      <c r="K1" s="10">
        <f t="shared" si="0"/>
        <v>8</v>
      </c>
      <c r="L1" s="10">
        <f t="shared" si="0"/>
        <v>9</v>
      </c>
      <c r="M1" s="10">
        <f t="shared" si="0"/>
        <v>10</v>
      </c>
      <c r="N1" s="10">
        <f t="shared" si="0"/>
        <v>11</v>
      </c>
      <c r="O1" s="10">
        <f t="shared" si="0"/>
        <v>12</v>
      </c>
      <c r="P1" s="10">
        <f t="shared" si="0"/>
        <v>13</v>
      </c>
      <c r="Q1" s="10">
        <f t="shared" si="0"/>
        <v>14</v>
      </c>
      <c r="R1" s="10">
        <f t="shared" si="0"/>
        <v>15</v>
      </c>
      <c r="S1" s="10">
        <f t="shared" si="0"/>
        <v>16</v>
      </c>
      <c r="T1" s="10">
        <f t="shared" si="0"/>
        <v>17</v>
      </c>
      <c r="U1" s="10">
        <f t="shared" si="0"/>
        <v>18</v>
      </c>
      <c r="V1" s="10">
        <f t="shared" si="0"/>
        <v>19</v>
      </c>
      <c r="W1" s="10">
        <f t="shared" si="0"/>
        <v>20</v>
      </c>
      <c r="X1" s="10">
        <f t="shared" si="0"/>
        <v>21</v>
      </c>
      <c r="Y1" s="10">
        <f t="shared" si="0"/>
        <v>22</v>
      </c>
      <c r="Z1" s="10">
        <f t="shared" si="0"/>
        <v>23</v>
      </c>
      <c r="AA1" s="10">
        <f t="shared" si="0"/>
        <v>24</v>
      </c>
      <c r="AB1" s="10">
        <f>AA1+1</f>
        <v>25</v>
      </c>
      <c r="AC1" s="10">
        <f t="shared" si="0"/>
        <v>26</v>
      </c>
      <c r="AD1" s="10">
        <f t="shared" si="0"/>
        <v>27</v>
      </c>
      <c r="AE1" s="10">
        <f t="shared" si="0"/>
        <v>28</v>
      </c>
      <c r="AF1" s="10">
        <f t="shared" si="0"/>
        <v>29</v>
      </c>
      <c r="AG1" s="10">
        <f>AF1+1</f>
        <v>30</v>
      </c>
    </row>
    <row r="2" spans="1:33" s="8" customFormat="1" x14ac:dyDescent="0.2">
      <c r="A2" s="8" t="s">
        <v>52</v>
      </c>
      <c r="B2" s="3">
        <f>'[1]Track WMO '!C5+'[1]Track WMO '!C6/'BPE LCOE Track WMO'!B1</f>
        <v>9208058.6403511111</v>
      </c>
      <c r="C2" s="17" t="s">
        <v>56</v>
      </c>
      <c r="D2" s="8">
        <f>'[1]Track WMO '!D27/(1+'[1]Track WMO '!$C$10/100)^(D1)</f>
        <v>5606.5558878504671</v>
      </c>
      <c r="E2" s="8">
        <f>'[1]Track WMO '!E27/(1+'[1]Track WMO '!$C$10/100)^(E1)</f>
        <v>5197.8536829417408</v>
      </c>
      <c r="F2" s="8">
        <f>'[1]Track WMO '!F27/(1+'[1]Track WMO '!$C$10/100)^(F1)</f>
        <v>4833.518144417787</v>
      </c>
      <c r="G2" s="8">
        <f>'[1]Track WMO '!G27/(1+'[1]Track WMO '!$C$10/100)^(G1)</f>
        <v>4494.7201436408395</v>
      </c>
      <c r="H2" s="8">
        <f>'[1]Track WMO '!H27/(1+'[1]Track WMO '!$C$10/100)^(H1)</f>
        <v>4179.6696662828363</v>
      </c>
      <c r="I2" s="8">
        <f>'[1]Track WMO '!I27/(1+'[1]Track WMO '!$C$10/100)^(I1)</f>
        <v>3886.7021663097403</v>
      </c>
      <c r="J2" s="8">
        <f>'[1]Track WMO '!J27/(1+'[1]Track WMO '!$C$10/100)^(J1)</f>
        <v>3614.2697714749456</v>
      </c>
      <c r="K2" s="8">
        <f>'[1]Track WMO '!K27/(1+'[1]Track WMO '!$C$10/100)^(K1)</f>
        <v>3360.9331052500661</v>
      </c>
      <c r="L2" s="8">
        <f>'[1]Track WMO '!L27/(1+'[1]Track WMO '!$C$10/100)^(L1)</f>
        <v>3125.3536819848746</v>
      </c>
      <c r="M2" s="8">
        <f>'[1]Track WMO '!M27/(1+'[1]Track WMO '!$C$10/100)^(M1)</f>
        <v>2906.2868351167758</v>
      </c>
      <c r="N2" s="8">
        <f>'[1]Track WMO '!N27/(1+'[1]Track WMO '!$C$10/100)^(N1)</f>
        <v>2702.5751410665343</v>
      </c>
      <c r="O2" s="8">
        <f>'[1]Track WMO '!O27/(1+'[1]Track WMO '!$C$10/100)^(O1)</f>
        <v>2513.14230407589</v>
      </c>
      <c r="P2" s="8">
        <f>'[1]Track WMO '!P27/(1+'[1]Track WMO '!$C$10/100)^(P1)</f>
        <v>2336.9874696780466</v>
      </c>
      <c r="Q2" s="8">
        <f>'[1]Track WMO '!Q27/(1+'[1]Track WMO '!$C$10/100)^(Q1)</f>
        <v>2173.1799367566887</v>
      </c>
      <c r="R2" s="8">
        <f>'[1]Track WMO '!R27/(1+'[1]Track WMO '!$C$10/100)^(R1)</f>
        <v>2020.8542402550511</v>
      </c>
      <c r="S2" s="8">
        <f>'[1]Track WMO '!S27/(1+'[1]Track WMO '!$C$10/100)^(S1)</f>
        <v>1879.2055785549312</v>
      </c>
      <c r="T2" s="8">
        <f>'[1]Track WMO '!T27/(1+'[1]Track WMO '!$C$10/100)^(T1)</f>
        <v>1747.4855613665013</v>
      </c>
      <c r="U2" s="8">
        <f>'[1]Track WMO '!U27/(1+'[1]Track WMO '!$C$10/100)^(U1)</f>
        <v>1624.9982556632419</v>
      </c>
      <c r="V2" s="8">
        <f>'[1]Track WMO '!V27/(1+'[1]Track WMO '!$C$10/100)^(V1)</f>
        <v>1511.0965087709585</v>
      </c>
      <c r="W2" s="8">
        <f>'[1]Track WMO '!W27/(1+'[1]Track WMO '!$C$10/100)^(W1)</f>
        <v>1405.1785291842093</v>
      </c>
      <c r="X2" s="8">
        <f>'[1]Track WMO '!X27/(1+'[1]Track WMO '!$C$10/100)^(X1)</f>
        <v>1306.684707045129</v>
      </c>
      <c r="Y2" s="8">
        <f>'[1]Track WMO '!Y27/(1+'[1]Track WMO '!$C$10/100)^(Y1)</f>
        <v>1215.0946574858908</v>
      </c>
      <c r="Z2" s="8">
        <f>'[1]Track WMO '!Z27/(1+'[1]Track WMO '!$C$10/100)^(Z1)</f>
        <v>1129.9244712135153</v>
      </c>
      <c r="AA2" s="8">
        <f>'[1]Track WMO '!AA27/(1+'[1]Track WMO '!$C$10/100)^(AA1)</f>
        <v>1050.7241578106989</v>
      </c>
      <c r="AB2" s="8">
        <f>'[1]Track WMO '!AB27/(1+'[1]Track WMO '!$C$10/100)^(AB1)</f>
        <v>977.07526824452827</v>
      </c>
      <c r="AC2" s="8">
        <f>'[1]Track WMO '!AC27/(1+'[1]Track WMO '!$C$10/100)^(AC1)</f>
        <v>908.58868402178098</v>
      </c>
      <c r="AD2" s="8">
        <f>'[1]Track WMO '!AD27/(1+'[1]Track WMO '!$C$10/100)^(AD1)</f>
        <v>844.90256130997375</v>
      </c>
      <c r="AE2" s="8">
        <f>'[1]Track WMO '!AE27/(1+'[1]Track WMO '!$C$10/100)^(AE1)</f>
        <v>785.68041916207858</v>
      </c>
      <c r="AF2" s="8">
        <f>'[1]Track WMO '!AF27/(1+'[1]Track WMO '!$C$10/100)^(AF1)</f>
        <v>730.60936174417577</v>
      </c>
      <c r="AG2" s="8">
        <f>'[1]Track WMO '!AG27/(1+'[1]Track WMO '!$C$10/100)^(AG1)</f>
        <v>679.39842517332238</v>
      </c>
    </row>
    <row r="3" spans="1:33" x14ac:dyDescent="0.2">
      <c r="A3" t="s">
        <v>53</v>
      </c>
      <c r="B3" s="8">
        <f>SUM(D2:AG2)</f>
        <v>70749.249323853219</v>
      </c>
    </row>
    <row r="4" spans="1:33" x14ac:dyDescent="0.2">
      <c r="A4" s="1" t="s">
        <v>51</v>
      </c>
      <c r="B4" s="14">
        <f>B2/B3</f>
        <v>130.15061966525488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E25C4981CB14F8799B74819B7AC08" ma:contentTypeVersion="19" ma:contentTypeDescription="Create a new document." ma:contentTypeScope="" ma:versionID="18d4b79e7e30ffb061354ebd9b6fb1ea">
  <xsd:schema xmlns:xsd="http://www.w3.org/2001/XMLSchema" xmlns:xs="http://www.w3.org/2001/XMLSchema" xmlns:p="http://schemas.microsoft.com/office/2006/metadata/properties" xmlns:ns2="f67d1f72-31b2-4db8-9eba-6a53a0e1fea9" xmlns:ns3="a34d2c86-9072-4ad0-aac0-6de0c221a924" targetNamespace="http://schemas.microsoft.com/office/2006/metadata/properties" ma:root="true" ma:fieldsID="4fb9824bbe181eb93ec28b43918b8331" ns2:_="" ns3:_="">
    <xsd:import namespace="f67d1f72-31b2-4db8-9eba-6a53a0e1fea9"/>
    <xsd:import namespace="a34d2c86-9072-4ad0-aac0-6de0c221a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d1f72-31b2-4db8-9eba-6a53a0e1f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37fece0-7c67-4b6d-b059-36af53aee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2c86-9072-4ad0-aac0-6de0c221a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35a2cd-b9e7-4914-9da1-8e74cad9c42d}" ma:internalName="TaxCatchAll" ma:showField="CatchAllData" ma:web="a34d2c86-9072-4ad0-aac0-6de0c221a9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4d2c86-9072-4ad0-aac0-6de0c221a924" xsi:nil="true"/>
    <lcf76f155ced4ddcb4097134ff3c332f xmlns="f67d1f72-31b2-4db8-9eba-6a53a0e1fe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66424A-EC39-47B0-BDAE-F7E773D5C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7d1f72-31b2-4db8-9eba-6a53a0e1fea9"/>
    <ds:schemaRef ds:uri="a34d2c86-9072-4ad0-aac0-6de0c221a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1D6C8E-EE59-486E-9797-7C6248017134}">
  <ds:schemaRefs>
    <ds:schemaRef ds:uri="a34d2c86-9072-4ad0-aac0-6de0c221a924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67d1f72-31b2-4db8-9eba-6a53a0e1fea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C6B0990-8D22-4EEE-A071-895BEB5149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Parameters</vt:lpstr>
      <vt:lpstr>BPE Fixed WMO </vt:lpstr>
      <vt:lpstr>BPE Track WMO </vt:lpstr>
      <vt:lpstr>MST Fixed WMO </vt:lpstr>
      <vt:lpstr>MST Track WMO </vt:lpstr>
      <vt:lpstr>HWA Fixed WMO </vt:lpstr>
      <vt:lpstr>HWA Track WMO </vt:lpstr>
      <vt:lpstr>BPE LCOE Fixed WMO</vt:lpstr>
      <vt:lpstr>BPE LCOE Track WMO</vt:lpstr>
      <vt:lpstr>MST LCOE Fixed WMO</vt:lpstr>
      <vt:lpstr>MST LCOE Track WMO</vt:lpstr>
      <vt:lpstr>HWA LCOE Fixed WMO</vt:lpstr>
      <vt:lpstr>HWA LCOE Track WMO</vt:lpstr>
      <vt:lpstr>BPE Fixed PPA</vt:lpstr>
      <vt:lpstr>BPE Track PPA</vt:lpstr>
      <vt:lpstr>MST Fixed PPA</vt:lpstr>
      <vt:lpstr>MST Track PPA</vt:lpstr>
      <vt:lpstr>HWA Fixed PPA</vt:lpstr>
      <vt:lpstr>HWA Track PPA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Brent, Alan, Prof [acb@sun.ac.za]</dc:creator>
  <cp:lastModifiedBy>Alan Brent</cp:lastModifiedBy>
  <dcterms:created xsi:type="dcterms:W3CDTF">2025-05-12T03:27:35Z</dcterms:created>
  <dcterms:modified xsi:type="dcterms:W3CDTF">2026-08-06T05:53:32Z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0x010100EF4E25C4981CB14F8799B74819B7AC08</vt:lpwstr>
  </property>
  <property fmtid="{D5CDD505-2E9C-101B-9397-08002B2CF9AE}" pid="3" name="MediaServiceImageTags">
    <vt:lpwstr/>
  </property>
</Properties>
</file>