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202300"/>
  <mc:AlternateContent xmlns:mc="http://schemas.openxmlformats.org/markup-compatibility/2006">
    <mc:Choice Requires="x15">
      <x15ac:absPath xmlns:x15ac="http://schemas.microsoft.com/office/spreadsheetml/2010/11/ac" url="https://vuw.sharepoint.com/sites/ECS_SustainableEnergySystems/Shared Documents/Publications/ASES/2026/Habeebullah/"/>
    </mc:Choice>
  </mc:AlternateContent>
  <xr:revisionPtr revIDLastSave="0" documentId="13_ncr:1_{0213ED04-4A8B-45A3-9EA4-5412DC1F3D60}" xr6:coauthVersionLast="47" xr6:coauthVersionMax="47" xr10:uidLastSave="{00000000-0000-0000-0000-000000000000}"/>
  <bookViews>
    <workbookView xWindow="0" yWindow="660" windowWidth="28700" windowHeight="13540" xr2:uid="{261E3246-CE33-4A1F-8287-F6A002A6CA9B}"/>
  </bookViews>
  <sheets>
    <sheet name="Overview" sheetId="21" r:id="rId1"/>
    <sheet name="S1_LCOH Assumptions" sheetId="1" r:id="rId2"/>
    <sheet name="S2_Storage CAPEX" sheetId="2" r:id="rId3"/>
    <sheet name="S3_Storage OPEX" sheetId="3" r:id="rId4"/>
    <sheet name="S4_Electrolyser Assumptions" sheetId="10" r:id="rId5"/>
    <sheet name="S5_Electrolyser CAPEX" sheetId="9" r:id="rId6"/>
    <sheet name="S6_Electrolyser OPEX" sheetId="11" r:id="rId7"/>
    <sheet name="S7_LCOH results" sheetId="4" r:id="rId8"/>
    <sheet name="S8_Benchmark comparison" sheetId="12" r:id="rId9"/>
    <sheet name="S9_LCOH sensitivity" sheetId="5" r:id="rId10"/>
    <sheet name="S10_CCGT Assumptions" sheetId="14" r:id="rId11"/>
    <sheet name="S11_CCGT Calculations" sheetId="15" r:id="rId12"/>
    <sheet name="S12_Cost competitiveness" sheetId="16" r:id="rId13"/>
    <sheet name="S13_CCGT Sensitivity" sheetId="17" r:id="rId14"/>
    <sheet name="S14_LCOH Charts" sheetId="6" r:id="rId15"/>
    <sheet name="S15_CCGT Charts" sheetId="18" r:id="rId16"/>
    <sheet name="S16_Chart Data LCOH" sheetId="13" r:id="rId17"/>
    <sheet name="S17_Chart Data CCGT" sheetId="20" r:id="rId18"/>
  </sheets>
  <externalReferences>
    <externalReference r:id="rId1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3" i="20" l="1"/>
  <c r="B33" i="20"/>
  <c r="C32" i="20"/>
  <c r="B32" i="20"/>
  <c r="C31" i="20"/>
  <c r="B31" i="20"/>
  <c r="C30" i="20"/>
  <c r="B30" i="20"/>
  <c r="C7" i="16"/>
  <c r="F4" i="16"/>
  <c r="E4" i="16"/>
  <c r="D4" i="16"/>
  <c r="F3" i="16"/>
  <c r="E3" i="16"/>
  <c r="D3" i="16"/>
  <c r="B10" i="15"/>
  <c r="B9" i="15"/>
  <c r="B6" i="15"/>
  <c r="B5" i="15"/>
  <c r="B4" i="15"/>
  <c r="B3" i="15"/>
  <c r="G24" i="13"/>
  <c r="F24" i="13"/>
  <c r="D24" i="13" s="1"/>
  <c r="G25" i="13"/>
  <c r="F25" i="13"/>
  <c r="G21" i="13"/>
  <c r="F21" i="13"/>
  <c r="D21" i="13" s="1"/>
  <c r="G22" i="13"/>
  <c r="F22" i="13"/>
  <c r="G23" i="13"/>
  <c r="F23" i="13"/>
  <c r="D23" i="13" s="1"/>
  <c r="G20" i="13"/>
  <c r="F20" i="13"/>
  <c r="D20" i="13" s="1"/>
  <c r="E23" i="13"/>
  <c r="E22" i="13"/>
  <c r="E21" i="13"/>
  <c r="E25" i="13"/>
  <c r="E24" i="13"/>
  <c r="E20" i="13"/>
  <c r="B13" i="13"/>
  <c r="B12" i="13"/>
  <c r="B11" i="13"/>
  <c r="B10" i="13"/>
  <c r="B5" i="13"/>
  <c r="B4" i="13"/>
  <c r="B3" i="13"/>
  <c r="B2" i="13"/>
  <c r="D6" i="11"/>
  <c r="E6" i="11"/>
  <c r="C6" i="11"/>
  <c r="D6" i="9"/>
  <c r="D7" i="9"/>
  <c r="E7" i="9"/>
  <c r="C7" i="9"/>
  <c r="E6" i="9"/>
  <c r="E5" i="9"/>
  <c r="E10" i="9" s="1"/>
  <c r="D5" i="9"/>
  <c r="D10" i="9" s="1"/>
  <c r="C5" i="9"/>
  <c r="C10" i="9" s="1"/>
  <c r="B36" i="10"/>
  <c r="E11" i="11" s="1"/>
  <c r="B11" i="4"/>
  <c r="B12" i="4" s="1"/>
  <c r="D14" i="4"/>
  <c r="B14" i="4"/>
  <c r="C14" i="4"/>
  <c r="D13" i="4"/>
  <c r="D11" i="4"/>
  <c r="D12" i="4" s="1"/>
  <c r="C11" i="4"/>
  <c r="C12" i="4" s="1"/>
  <c r="B10" i="4"/>
  <c r="D10" i="4"/>
  <c r="C13" i="4"/>
  <c r="B16" i="2"/>
  <c r="C16" i="2" s="1"/>
  <c r="E16" i="2" s="1"/>
  <c r="B14" i="2"/>
  <c r="B13" i="2"/>
  <c r="C10" i="4"/>
  <c r="B31" i="3"/>
  <c r="C24" i="3"/>
  <c r="C26" i="3"/>
  <c r="C27" i="3"/>
  <c r="C28" i="3"/>
  <c r="C29" i="3"/>
  <c r="C16" i="3"/>
  <c r="C17" i="3"/>
  <c r="C18" i="3"/>
  <c r="C19" i="3"/>
  <c r="C20" i="3"/>
  <c r="C21" i="3"/>
  <c r="C22" i="3"/>
  <c r="C15" i="3"/>
  <c r="C14" i="3"/>
  <c r="C12" i="3"/>
  <c r="B7" i="3"/>
  <c r="B8" i="3"/>
  <c r="C33" i="2"/>
  <c r="C35" i="2"/>
  <c r="C34" i="2"/>
  <c r="C28" i="2"/>
  <c r="E28" i="2" s="1"/>
  <c r="C27" i="2"/>
  <c r="E27" i="2" s="1"/>
  <c r="C7" i="2"/>
  <c r="E7" i="2" s="1"/>
  <c r="C8" i="2"/>
  <c r="E8" i="2" s="1"/>
  <c r="C10" i="2"/>
  <c r="E10" i="2" s="1"/>
  <c r="C11" i="2"/>
  <c r="E11" i="2" s="1"/>
  <c r="C13" i="2"/>
  <c r="C14" i="2"/>
  <c r="C6" i="2"/>
  <c r="E6" i="2" s="1"/>
  <c r="B30" i="1"/>
  <c r="B21" i="1"/>
  <c r="B22" i="1"/>
  <c r="B20" i="1"/>
  <c r="B65" i="1"/>
  <c r="D33" i="20" l="1"/>
  <c r="D32" i="20"/>
  <c r="D31" i="20"/>
  <c r="D30" i="20"/>
  <c r="F5" i="16"/>
  <c r="D5" i="16"/>
  <c r="E5" i="16"/>
  <c r="C15" i="15"/>
  <c r="E17" i="15"/>
  <c r="C17" i="15"/>
  <c r="B17" i="15"/>
  <c r="D16" i="15"/>
  <c r="B16" i="15"/>
  <c r="B15" i="15"/>
  <c r="B19" i="15" s="1"/>
  <c r="B20" i="15" s="1"/>
  <c r="D17" i="15"/>
  <c r="C16" i="15"/>
  <c r="D15" i="15"/>
  <c r="B12" i="15"/>
  <c r="E15" i="15"/>
  <c r="B11" i="15"/>
  <c r="B7" i="15"/>
  <c r="B8" i="15" s="1"/>
  <c r="D25" i="13"/>
  <c r="D22" i="13"/>
  <c r="B24" i="13"/>
  <c r="B21" i="13"/>
  <c r="C22" i="13"/>
  <c r="C23" i="13"/>
  <c r="B20" i="13"/>
  <c r="C24" i="13"/>
  <c r="B25" i="13"/>
  <c r="C25" i="13"/>
  <c r="C21" i="13"/>
  <c r="B22" i="13"/>
  <c r="B23" i="13"/>
  <c r="C20" i="13"/>
  <c r="B9" i="4"/>
  <c r="C9" i="4"/>
  <c r="D9" i="4"/>
  <c r="D14" i="9"/>
  <c r="D11" i="9"/>
  <c r="E14" i="9"/>
  <c r="E11" i="9"/>
  <c r="C14" i="9"/>
  <c r="C11" i="9"/>
  <c r="B7" i="4"/>
  <c r="D7" i="4"/>
  <c r="C7" i="4"/>
  <c r="D11" i="11"/>
  <c r="B15" i="13" s="1"/>
  <c r="C11" i="11"/>
  <c r="D16" i="4"/>
  <c r="D17" i="4"/>
  <c r="B16" i="4"/>
  <c r="B17" i="4"/>
  <c r="C17" i="4"/>
  <c r="C16" i="4"/>
  <c r="B29" i="2"/>
  <c r="E13" i="2"/>
  <c r="E14" i="2"/>
  <c r="C18" i="15" l="1"/>
  <c r="D18" i="15"/>
  <c r="D19" i="15" s="1"/>
  <c r="D20" i="15" s="1"/>
  <c r="E18" i="15"/>
  <c r="E19" i="15" s="1"/>
  <c r="E20" i="15" s="1"/>
  <c r="C19" i="15"/>
  <c r="C20" i="15" s="1"/>
  <c r="C18" i="9"/>
  <c r="C21" i="9" s="1"/>
  <c r="B5" i="4" s="1"/>
  <c r="C15" i="9"/>
  <c r="D18" i="9"/>
  <c r="D21" i="9" s="1"/>
  <c r="B6" i="13" s="1"/>
  <c r="B7" i="13" s="1"/>
  <c r="D15" i="9"/>
  <c r="E15" i="9"/>
  <c r="E18" i="9"/>
  <c r="E21" i="9" s="1"/>
  <c r="B17" i="2"/>
  <c r="C7" i="11" l="1"/>
  <c r="C15" i="11" s="1"/>
  <c r="B8" i="4" s="1"/>
  <c r="B18" i="4" s="1"/>
  <c r="B3" i="12" s="1"/>
  <c r="C5" i="4"/>
  <c r="D7" i="11"/>
  <c r="E7" i="11"/>
  <c r="E15" i="11" s="1"/>
  <c r="D8" i="4" s="1"/>
  <c r="B18" i="2"/>
  <c r="D35" i="2"/>
  <c r="E35" i="2" s="1"/>
  <c r="D34" i="2"/>
  <c r="E34" i="2" s="1"/>
  <c r="C6" i="4" s="1"/>
  <c r="C19" i="4" s="1"/>
  <c r="D33" i="2"/>
  <c r="E33" i="2" s="1"/>
  <c r="B6" i="4" s="1"/>
  <c r="B19" i="4" s="1"/>
  <c r="D15" i="11" l="1"/>
  <c r="C8" i="4" s="1"/>
  <c r="C18" i="4" s="1"/>
  <c r="B14" i="13"/>
  <c r="B16" i="13" s="1"/>
  <c r="D5" i="4"/>
  <c r="D18" i="4" s="1"/>
  <c r="D6" i="4"/>
  <c r="D19" i="4" s="1"/>
  <c r="A28" i="20" l="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<sst xmlns="http://schemas.openxmlformats.org/spreadsheetml/2006/main" count="1467" uniqueCount="938">
  <si>
    <t>Parameter</t>
  </si>
  <si>
    <t>Value</t>
  </si>
  <si>
    <t>Unit</t>
  </si>
  <si>
    <t>Source</t>
  </si>
  <si>
    <t>Reservoir Parameters</t>
  </si>
  <si>
    <t>Reservoir Depth</t>
  </si>
  <si>
    <t>Reservoir Temperature</t>
  </si>
  <si>
    <t>Average prorosity</t>
  </si>
  <si>
    <t>Original reservoir pressure</t>
  </si>
  <si>
    <t>Horizontal permeability</t>
  </si>
  <si>
    <t>Vertical permeability</t>
  </si>
  <si>
    <t>Gross reservoir thickness</t>
  </si>
  <si>
    <t>Gas water contact depth</t>
  </si>
  <si>
    <t>Min operating pressure</t>
  </si>
  <si>
    <t>Max operating pressure</t>
  </si>
  <si>
    <t>Storage Capacity</t>
  </si>
  <si>
    <t>Cushion gas volume</t>
  </si>
  <si>
    <t>Working gas - Conservative</t>
  </si>
  <si>
    <t>Working gas - Base</t>
  </si>
  <si>
    <t>Working gas - Optimistic</t>
  </si>
  <si>
    <t>H2 Energy density LHV</t>
  </si>
  <si>
    <t>M_H2 Conservative</t>
  </si>
  <si>
    <t>M_H2 Base</t>
  </si>
  <si>
    <t>M_H2 Optimistic</t>
  </si>
  <si>
    <t>H2 Withdrawal efficiency</t>
  </si>
  <si>
    <t>Cycling Frequency</t>
  </si>
  <si>
    <t>Financial Parameters</t>
  </si>
  <si>
    <t>CRF</t>
  </si>
  <si>
    <t>USD to NZD exchange rate</t>
  </si>
  <si>
    <t>Tax rate</t>
  </si>
  <si>
    <t>Contigency fund rate</t>
  </si>
  <si>
    <t>Compression Energy</t>
  </si>
  <si>
    <t>Year</t>
  </si>
  <si>
    <t>J.Liu et al. 2025</t>
  </si>
  <si>
    <t>meters</t>
  </si>
  <si>
    <t>%</t>
  </si>
  <si>
    <t>MPa</t>
  </si>
  <si>
    <t>degree celcius</t>
  </si>
  <si>
    <t>mD</t>
  </si>
  <si>
    <t>Section</t>
  </si>
  <si>
    <t xml:space="preserve">J.Liu et al. 2025 </t>
  </si>
  <si>
    <t>Page</t>
  </si>
  <si>
    <t>Section 2.4 Model Geometry</t>
  </si>
  <si>
    <t>Table 1</t>
  </si>
  <si>
    <t>Table 2</t>
  </si>
  <si>
    <t>Table 3</t>
  </si>
  <si>
    <t>Section 2.6 Baseline simulation</t>
  </si>
  <si>
    <t>TJ</t>
  </si>
  <si>
    <t>Ahuroastorage.xlx</t>
  </si>
  <si>
    <t>TWh</t>
  </si>
  <si>
    <t>Calculation</t>
  </si>
  <si>
    <t>6000*0.2778</t>
  </si>
  <si>
    <t>CUSHION_GAS_TJ</t>
  </si>
  <si>
    <t>All rows</t>
  </si>
  <si>
    <t>TWh H2</t>
  </si>
  <si>
    <t>kWh/kg</t>
  </si>
  <si>
    <t>cycles per year</t>
  </si>
  <si>
    <t>Natural gas to H2 Conversion Factor</t>
  </si>
  <si>
    <t>Higgs et al.2024</t>
  </si>
  <si>
    <t>Table 6</t>
  </si>
  <si>
    <t>Standard Thermodynamic Value</t>
  </si>
  <si>
    <t>Section 3.5</t>
  </si>
  <si>
    <t>J.Liu et al.2025</t>
  </si>
  <si>
    <t>Pan et al. 2021</t>
  </si>
  <si>
    <t>Diffussion losses</t>
  </si>
  <si>
    <t>Derived from Seasonal injection/withdrawal pattern</t>
  </si>
  <si>
    <t>Table 6 footnote</t>
  </si>
  <si>
    <t>years</t>
  </si>
  <si>
    <t>lord et al.2014</t>
  </si>
  <si>
    <t>Calculated from discount rate and lifetime</t>
  </si>
  <si>
    <t>Standard financial formula</t>
  </si>
  <si>
    <t>Current market rate as per May 2025</t>
  </si>
  <si>
    <t>Reserve Bank of NZ</t>
  </si>
  <si>
    <t>Deng et al.2025</t>
  </si>
  <si>
    <t>Table 2 Section 5</t>
  </si>
  <si>
    <t>Equipment lifetime</t>
  </si>
  <si>
    <t>Capex Parameters</t>
  </si>
  <si>
    <t>Cushion gas injection fee</t>
  </si>
  <si>
    <t>Cushion gas as % of total investment</t>
  </si>
  <si>
    <t>52-55</t>
  </si>
  <si>
    <t>83-86</t>
  </si>
  <si>
    <t>$M/well</t>
  </si>
  <si>
    <t>$M/set</t>
  </si>
  <si>
    <t>$/MCM</t>
  </si>
  <si>
    <t>% of original</t>
  </si>
  <si>
    <t>$M USD</t>
  </si>
  <si>
    <t>Table 2 Section 2.3</t>
  </si>
  <si>
    <t>Table 2 Section 2.5</t>
  </si>
  <si>
    <t>Table 2 Section 2.2</t>
  </si>
  <si>
    <t>Table 2 Section 3.1</t>
  </si>
  <si>
    <t>Table 2 Section 3.2</t>
  </si>
  <si>
    <t>Table 2 Section 4</t>
  </si>
  <si>
    <t xml:space="preserve">Table 2 </t>
  </si>
  <si>
    <t>Depleted reservoirs section</t>
  </si>
  <si>
    <t>OPEX Parameters</t>
  </si>
  <si>
    <t>Gas injection expenses</t>
  </si>
  <si>
    <t>Fuel costs</t>
  </si>
  <si>
    <t>Monitoring well and operations</t>
  </si>
  <si>
    <t>Management fees</t>
  </si>
  <si>
    <t>Financial and sales expenses</t>
  </si>
  <si>
    <t>Equipment depreciation</t>
  </si>
  <si>
    <t>$M/year</t>
  </si>
  <si>
    <t>Deng et al.2025  (Adjusted for NZ)</t>
  </si>
  <si>
    <t>Table 3 Section 1.1</t>
  </si>
  <si>
    <t>Table 3 Section 1.2</t>
  </si>
  <si>
    <t>Table 3 Section 2.1</t>
  </si>
  <si>
    <t>Table 3 Section 2.2</t>
  </si>
  <si>
    <t>Table 3 Section 1.3</t>
  </si>
  <si>
    <t>Electrolyser Efficiency</t>
  </si>
  <si>
    <t>% of LHV</t>
  </si>
  <si>
    <t>NZD/kg</t>
  </si>
  <si>
    <t>kWh/kg H2</t>
  </si>
  <si>
    <t>Lord et al.2014</t>
  </si>
  <si>
    <t>-</t>
  </si>
  <si>
    <t>Notes</t>
  </si>
  <si>
    <t>NZD/MWh</t>
  </si>
  <si>
    <t>NZD/kWh</t>
  </si>
  <si>
    <t>Calculated</t>
  </si>
  <si>
    <t>Contact energy 2022,Higgs et al.2024</t>
  </si>
  <si>
    <t>kg/year</t>
  </si>
  <si>
    <t>Working gas*10^9/H2 Energy density</t>
  </si>
  <si>
    <t>kg=kWh/(kWh/kg)</t>
  </si>
  <si>
    <t>New Zealand Inland Revenue Website</t>
  </si>
  <si>
    <t>nzird.gov.nz</t>
  </si>
  <si>
    <t>CRF = [i × (1 + i)^n] / [(1 + i)^n − 1]</t>
  </si>
  <si>
    <t>Discount rate (i)</t>
  </si>
  <si>
    <t>Project Lifetime (n)</t>
  </si>
  <si>
    <t xml:space="preserve">New Zealand Treasury Circular 2024/15. Yousefi et al.2023 uses discount 
rates in the range of 5-10% for UHS
 economic modelling for a European 
depleted reservoir. </t>
  </si>
  <si>
    <t>Table of discount rates</t>
  </si>
  <si>
    <t>SOC rate applies as project has mainly commercial costs
 and benefits. SRTP rate of 2% used as mandatory sensitivity test per Treasury guidance.</t>
  </si>
  <si>
    <t>Cushion gas volume (Converted)</t>
  </si>
  <si>
    <t>H2 Loss rate (Diffussion)</t>
  </si>
  <si>
    <t>Production equipment (both routes)</t>
  </si>
  <si>
    <t>Well maintanance-horizontal (CUGS)</t>
  </si>
  <si>
    <t>Well maintanance-straight (CUGS)</t>
  </si>
  <si>
    <t>Gas transmission pipeline maintanance (CUGS)</t>
  </si>
  <si>
    <t>Equipment maintanance (CUGS)</t>
  </si>
  <si>
    <t>Cushion gas CO2 (Base)</t>
  </si>
  <si>
    <t>Cushion gas N2 (Alternative)</t>
  </si>
  <si>
    <t>Existing asset value - wells (CUGS)</t>
  </si>
  <si>
    <t>Existing asset value surface equipment (CUGS)</t>
  </si>
  <si>
    <t>Total Capex CUGS route (base/optimistic)</t>
  </si>
  <si>
    <t>Total Capex CDGR route (conservative)</t>
  </si>
  <si>
    <t>Compressor cost per unit 1800 kW</t>
  </si>
  <si>
    <t>Table 2 Section 2.4</t>
  </si>
  <si>
    <t>Labour Cost (20 staff)-NZ adjusted</t>
  </si>
  <si>
    <t>Energy parameters &amp; LCOH formula parameters</t>
  </si>
  <si>
    <t>New Zealand Electricity Price (Base)</t>
  </si>
  <si>
    <t>Electricity Price in NZD/kWh (Base)</t>
  </si>
  <si>
    <t>EMI Marketing statistics+MBIE hydrogen 
eonomic modelling report 2023</t>
  </si>
  <si>
    <t>EMI Marketing statistics+MBIE hydrogen 
eonomic modelling report 2024</t>
  </si>
  <si>
    <t>EMI Marketing statistics+MBIE hydrogen 
eonomic modelling report 2025</t>
  </si>
  <si>
    <t>EMI Electricity Authority Wholesale Marketing Data</t>
  </si>
  <si>
    <t>Figure 40</t>
  </si>
  <si>
    <t>emi.ea.govt.nz/wholesale/Reports/w_p_c</t>
  </si>
  <si>
    <t>New Zealand Electricity Price (Low) - Sensitivity</t>
  </si>
  <si>
    <t>New Zealand Electricity Price (High) - Sensitivity</t>
  </si>
  <si>
    <t>New Zealand Electricity Price (Stress) - Sensitivity</t>
  </si>
  <si>
    <t>Benchmarking &amp; Revenue Assumptions</t>
  </si>
  <si>
    <t xml:space="preserve">New Zealand green H2 cost - near term </t>
  </si>
  <si>
    <t>New Zealand green H2 cost - long term (2050)</t>
  </si>
  <si>
    <t>EECA Current H2 indiative price</t>
  </si>
  <si>
    <t>EECA Long term H2 Target</t>
  </si>
  <si>
    <t>6 to 10</t>
  </si>
  <si>
    <t>2.87 to 3.73</t>
  </si>
  <si>
    <t>MBIE NZ Hydrogen Scenarios Report (Sept 2022)</t>
  </si>
  <si>
    <t>EECA Hydrogen Reference</t>
  </si>
  <si>
    <t>Figure 5.2</t>
  </si>
  <si>
    <t>eeca.govt.nz/insights/energy/renewable-energy/hydrogen/</t>
  </si>
  <si>
    <t>Low</t>
  </si>
  <si>
    <t>Base</t>
  </si>
  <si>
    <t>High</t>
  </si>
  <si>
    <t>Stress</t>
  </si>
  <si>
    <t>MBIE Dec 2023+EMI Marketing Data</t>
  </si>
  <si>
    <t>NZ treasury Circular 2024/15, Page 2, SOC = 8% base and SRTP 2% sensitivity</t>
  </si>
  <si>
    <t>%/year</t>
  </si>
  <si>
    <t>Pan et al. (2021),Page 6 diffusion loss</t>
  </si>
  <si>
    <t>Tariki Sandstone Member ~2 km depth</t>
  </si>
  <si>
    <t>Original field measurement</t>
  </si>
  <si>
    <t>Initial hydrostatic pressure</t>
  </si>
  <si>
    <t>History-matched; lab range 10.3–15.9%</t>
  </si>
  <si>
    <t>History-matched; lab range 15–102 mD</t>
  </si>
  <si>
    <t>10x anisotropy ratio</t>
  </si>
  <si>
    <t>Tariki Sandstone Member</t>
  </si>
  <si>
    <t>From field measurements</t>
  </si>
  <si>
    <t>Current permitted minimum</t>
  </si>
  <si>
    <t>Must not exceed original pressure</t>
  </si>
  <si>
    <t>Consistent across 2,246 daily records</t>
  </si>
  <si>
    <t>Own calculation</t>
  </si>
  <si>
    <t>Current water-affected effective capacity</t>
  </si>
  <si>
    <t>Partial remediation assumed</t>
  </si>
  <si>
    <t>Full theoretical capacity if remediated</t>
  </si>
  <si>
    <t>Lower Heating Value</t>
  </si>
  <si>
    <t>Range 89–92.3% from Ahuroa simulations; 90% conservative</t>
  </si>
  <si>
    <t>1% H2 loss over 15 years in high-porosity reservoirs</t>
  </si>
  <si>
    <t>Energy conversion ratio used to derive H2 equivalent capacity</t>
  </si>
  <si>
    <t>Seasonal storage - winter inject, summer/autumn withdraw</t>
  </si>
  <si>
    <t>Industry standard for underground storage infrastructure</t>
  </si>
  <si>
    <t>NZ resident company rate. NOTE: Deng et al. uses 15% (China)</t>
  </si>
  <si>
    <t>Applied to total construction costs</t>
  </si>
  <si>
    <t>2 horizontal wells; existing wells maintained not replaced</t>
  </si>
  <si>
    <t>2 straight wells</t>
  </si>
  <si>
    <t>Required regardless of CUGS or CDGR route</t>
  </si>
  <si>
    <t>Existing pipeline refurbished for H2 compatibility</t>
  </si>
  <si>
    <t>H2 embrittlement-resistant component replacements</t>
  </si>
  <si>
    <t>Per million cubic metres of cushion gas</t>
  </si>
  <si>
    <t>N2 cheaper but less effective than CO2</t>
  </si>
  <si>
    <t>Energy and labour costs for large-scale injection</t>
  </si>
  <si>
    <t>Residual value of existing high-quality production wells</t>
  </si>
  <si>
    <t>Residual value of compressors and surface facilities</t>
  </si>
  <si>
    <t>New wells + all surface infrastructure</t>
  </si>
  <si>
    <t>≈ 169.9 MCM rounded to 170</t>
  </si>
  <si>
    <t>Industry benchmark; confirmed by Deng et al. (2025)</t>
  </si>
  <si>
    <t>Already installed at Ahuroa — $0 CUGS route (key advantage)</t>
  </si>
  <si>
    <t>Cushion gas volume for cost calculation</t>
  </si>
  <si>
    <t>MCM</t>
  </si>
  <si>
    <t>Calculated: 6000 TJ × 0.02832 MCM/TJ</t>
  </si>
  <si>
    <t>Conversion: 1 TJ = 0.02832 MCM</t>
  </si>
  <si>
    <t>Largest OPEX item — energy and labour for injection</t>
  </si>
  <si>
    <t>Deng: $38k/person; NZ engineering salary ~NZD 100k/person × 20</t>
  </si>
  <si>
    <t>Monitoring wells + well management combined</t>
  </si>
  <si>
    <t>Safety production + other management</t>
  </si>
  <si>
    <t>Representative long-run average wholesale price. NOT retail tariff.</t>
  </si>
  <si>
    <t>Low renewable/PPA scenario</t>
  </si>
  <si>
    <t>High-price market scenario</t>
  </si>
  <si>
    <t>Lowest levelised cost of H2 produced in NZ</t>
  </si>
  <si>
    <t>Projected long-term competitive cost</t>
  </si>
  <si>
    <t>Current NZ green hydrogen benchmark</t>
  </si>
  <si>
    <t>Long-term competitive target for NZ</t>
  </si>
  <si>
    <t>Notes/Source</t>
  </si>
  <si>
    <t>Cost Item</t>
  </si>
  <si>
    <t>USD Amount ($M)</t>
  </si>
  <si>
    <t>Qty</t>
  </si>
  <si>
    <t>Total NZD ($M)</t>
  </si>
  <si>
    <t>1. WELL COSTS</t>
  </si>
  <si>
    <t>Deng et al. 2025 | Page 16 | Table 2 | Section 2.3</t>
  </si>
  <si>
    <t>Production equipment</t>
  </si>
  <si>
    <t>Required for both CUGS and CDGR routes</t>
  </si>
  <si>
    <t>Deng et al. 2025 | Page 16 | Table 2 | Section 2.2</t>
  </si>
  <si>
    <t>2. SURFACE FACILITY COSTS</t>
  </si>
  <si>
    <t>Gas transmission pipeline maintenance</t>
  </si>
  <si>
    <t>Deng et al. 2025 | Page 16 | Table 2 | Section 2.5</t>
  </si>
  <si>
    <t>Equipment maintenance and H2 upgrades</t>
  </si>
  <si>
    <t>3. CUSHION GAS COSTS  (170 MCM = 6,000 TJ converted)</t>
  </si>
  <si>
    <t>Deng et al. 2025 | Page 16 | Table 2 | Section 3.1</t>
  </si>
  <si>
    <t>Deng et al. 2025 | Page 16 | Table 2 | Section 3.2</t>
  </si>
  <si>
    <t>Deng et al. 2025 | Page 16 | Table 2 | Section 4</t>
  </si>
  <si>
    <t>Construction contingency fund (12%)</t>
  </si>
  <si>
    <t>12% of total pre-contingency costs</t>
  </si>
  <si>
    <t>Deng et al. 2025 | Page 16 | Table 2 | Section 5</t>
  </si>
  <si>
    <t>TOTAL CAPEX (NZD $M)</t>
  </si>
  <si>
    <t>TOTAL CAPEX (NZD full $)</t>
  </si>
  <si>
    <t>← This value feeds into LCOH sheet</t>
  </si>
  <si>
    <t>Scenario</t>
  </si>
  <si>
    <t>CONSERVATIVE</t>
  </si>
  <si>
    <t>BASE CASE</t>
  </si>
  <si>
    <t>OPTIMISTIC</t>
  </si>
  <si>
    <t>CAPEX Calculations of  Ahuroa UHS Facility (CUGS Route)</t>
  </si>
  <si>
    <t>Cushion gas - CO2 (base case)</t>
  </si>
  <si>
    <t>SCENARIO CAPEX COMPARISON - Conservative (CDGR), Base (CUGS Calc) &amp; Optimistic (CUGS Low)</t>
  </si>
  <si>
    <t>Base Case CAPEX estimation for conversion</t>
  </si>
  <si>
    <t>NZD Amount ($M) (=Value*1.7 exchange rate)</t>
  </si>
  <si>
    <t>4. CONTINGENCY FUND  (12% of construction costs)</t>
  </si>
  <si>
    <t>Equipment reusability percentage is not taken in the range 0-10% for conservative scenario because Ahuroa field is functional and is not a depleted reservoir now.</t>
  </si>
  <si>
    <t>in CAPEX calculations. The base case scenario have 60% equipment reusability. The conservative scenario have a 15% equipment reusability.</t>
  </si>
  <si>
    <t>Optimistic scenario is about 70% equipment reusability which is a best case imaginary scenario.</t>
  </si>
  <si>
    <t>7. Residual Value Credit</t>
  </si>
  <si>
    <t>Existing wells</t>
  </si>
  <si>
    <t>Surface equipments</t>
  </si>
  <si>
    <t>Note:</t>
  </si>
  <si>
    <t>Total residual value credit (in $M NZD)</t>
  </si>
  <si>
    <t>60% of Residual advantage of existing well assets</t>
  </si>
  <si>
    <t>Percentage of equipment reusability</t>
  </si>
  <si>
    <t>Residual credit advantage</t>
  </si>
  <si>
    <t>CAPEX $M NZD (gross)</t>
  </si>
  <si>
    <t>CAPEX $M NZD (net) (=CAPEXgross-Residual credit advantage)</t>
  </si>
  <si>
    <t xml:space="preserve">Annual OPEX Calculations for Ahuroa UHS facility </t>
  </si>
  <si>
    <t>1. OPEX Economic normalisation values for New Zealand context (last updated on 15 May,2025)</t>
  </si>
  <si>
    <t>New Zealand Labour Cost</t>
  </si>
  <si>
    <t>Note</t>
  </si>
  <si>
    <t xml:space="preserve">Average value for labour in Energy and Chemicals </t>
  </si>
  <si>
    <t>https://tahatu.govt.nz/work/explore-career-ideas/118-energy-and-chemicals</t>
  </si>
  <si>
    <t>New Zealand Wholesale Electricity Price</t>
  </si>
  <si>
    <t>NZD/year</t>
  </si>
  <si>
    <t>2. Calculated OPEX Values</t>
  </si>
  <si>
    <t>USD/year ($M)</t>
  </si>
  <si>
    <t>Deng et al. 2025 injection volume</t>
  </si>
  <si>
    <t>Ahuroa injection volume as per operational data 2020-23</t>
  </si>
  <si>
    <t>MCM/year</t>
  </si>
  <si>
    <t>Volume scaling factor</t>
  </si>
  <si>
    <t>Deng et al 2025</t>
  </si>
  <si>
    <t>Largest OPEX item — energy and labour for H2 injection</t>
  </si>
  <si>
    <t>Deng et al. 2025 | Page 17 | Table 3 | Section 1.1</t>
  </si>
  <si>
    <t>NZ adjustment: Deng uses $38k/person (China); NZ ~$100k/person. NZD value = 20 × $100,000 = $2.0M NZD</t>
  </si>
  <si>
    <t>Deng et al. 2025 Table 3 — NZ salary adjustment applied</t>
  </si>
  <si>
    <t>Operational fuel for facility</t>
  </si>
  <si>
    <t>Deng et al. 2025 | Page 17 | Table 3 | Section 1.2</t>
  </si>
  <si>
    <t>Electricity (monitoring/pumps)</t>
  </si>
  <si>
    <t>Materials</t>
  </si>
  <si>
    <t>Consumables and materials</t>
  </si>
  <si>
    <t>Monitoring</t>
  </si>
  <si>
    <t>Reservoir and facility monitoring</t>
  </si>
  <si>
    <t>Wells operations</t>
  </si>
  <si>
    <t>Well management and operations</t>
  </si>
  <si>
    <t>Wells management</t>
  </si>
  <si>
    <t>Administrative well management</t>
  </si>
  <si>
    <t>Maintenance and repair</t>
  </si>
  <si>
    <t>Routine maintenance</t>
  </si>
  <si>
    <t>Other operating costs</t>
  </si>
  <si>
    <t>Miscellaneous operational costs</t>
  </si>
  <si>
    <t>Annual depreciation of equipment assets</t>
  </si>
  <si>
    <t>Deng et al. 2025 | Page 17 | Table 3 | Section 1.3</t>
  </si>
  <si>
    <t>Safety production management</t>
  </si>
  <si>
    <t>Safety and compliance management</t>
  </si>
  <si>
    <t>Deng et al. 2025 | Page 17 | Table 3 | Section 2.1</t>
  </si>
  <si>
    <t>Other management fees</t>
  </si>
  <si>
    <t>General management overhead</t>
  </si>
  <si>
    <t>Sales expenses</t>
  </si>
  <si>
    <t>Commercial and sales costs</t>
  </si>
  <si>
    <t>Deng et al. 2025 | Page 17 | Table 3 | Section 2.2</t>
  </si>
  <si>
    <t>Financial expenses</t>
  </si>
  <si>
    <t>Banking and financial charges</t>
  </si>
  <si>
    <t>a. PRODUCTION COSTS</t>
  </si>
  <si>
    <t>b. UHS FACILITY OPERATION</t>
  </si>
  <si>
    <t>c. DEPRECIATION AND AMORTISATION</t>
  </si>
  <si>
    <t>d. INDIRECT EXPENSES</t>
  </si>
  <si>
    <t>Labour - 20 staff (NZ adjusted)</t>
  </si>
  <si>
    <t xml:space="preserve">NZD/year ($M) </t>
  </si>
  <si>
    <t>Negligibly small conversion changes</t>
  </si>
  <si>
    <t>All USD values converted to NZD using exchange rate in Assumptions sheet (1.70). Scale: Deng et al. model based on 100 MCM; Ahuroa ≈ 90 MCM, scale factor 0.30 applied.</t>
  </si>
  <si>
    <t>Well - horizontal</t>
  </si>
  <si>
    <t>Well - straight</t>
  </si>
  <si>
    <t>Total OPEX</t>
  </si>
  <si>
    <t>$M NZD/year</t>
  </si>
  <si>
    <t>$M NZD</t>
  </si>
  <si>
    <t>Capital Recovery Factor (CRF)</t>
  </si>
  <si>
    <t>Compression energy</t>
  </si>
  <si>
    <t>Electricity price (base case)</t>
  </si>
  <si>
    <t>Withdrawal efficiency adjustment</t>
  </si>
  <si>
    <t xml:space="preserve">From Assumptions sheet </t>
  </si>
  <si>
    <t>Representative wholesale price - MBIE Dec 2023 Page 48 Fig 40</t>
  </si>
  <si>
    <t>90% from Liu et al. 2025 - applied to M_H2 as multiplier</t>
  </si>
  <si>
    <t>From Assumptions - Lord et al. 2014, Page 6 Table 2</t>
  </si>
  <si>
    <t>Assumptions and Equations used for electrolyser cost calculations.</t>
  </si>
  <si>
    <t>1. Equations</t>
  </si>
  <si>
    <t>Equation</t>
  </si>
  <si>
    <t>Formula</t>
  </si>
  <si>
    <t>Variables</t>
  </si>
  <si>
    <t>Result Unit</t>
  </si>
  <si>
    <t>Type</t>
  </si>
  <si>
    <t>EQ-1  Annual energy required</t>
  </si>
  <si>
    <t>Energy (kWh/yr) = M_H2 × LHV ÷ η</t>
  </si>
  <si>
    <t>M_H2 = annual H2 output (kg/yr)
LHV = 33.3 kWh/kg
η = electrolyser efficiency (0.66)</t>
  </si>
  <si>
    <t>kWh/yr</t>
  </si>
  <si>
    <t>Standard energy balance
(first law of thermodynamics)</t>
  </si>
  <si>
    <t>Standard engineering equation</t>
  </si>
  <si>
    <t>EQ-2  Electrolyser capacity</t>
  </si>
  <si>
    <t>Capacity (kW) = Energy (kWh/yr) ÷ Operating hours (hrs/yr)</t>
  </si>
  <si>
    <t>Energy from EQ-1
Operating hours = hrs/yr the electrolyser runs</t>
  </si>
  <si>
    <t>kW</t>
  </si>
  <si>
    <t>Standard power-energy-time
Power = Energy ÷ Time</t>
  </si>
  <si>
    <t>EQ-3  Unit conversion kW to MW</t>
  </si>
  <si>
    <t>Capacity (MW) = Capacity (kW) ÷ 1,000</t>
  </si>
  <si>
    <t>kW from EQ-2</t>
  </si>
  <si>
    <t>MW</t>
  </si>
  <si>
    <t>SI unit conversion</t>
  </si>
  <si>
    <t>Standard SI conversion</t>
  </si>
  <si>
    <t>EQ-4  CAPEX in USD</t>
  </si>
  <si>
    <t>CAPEX (USD $M) = Capacity (kW) × Rate (USD/kWe) ÷ 1,000,000</t>
  </si>
  <si>
    <t>kW from EQ-2
Rate (USD/kWe) from IEA GHR 2024 p.3</t>
  </si>
  <si>
    <t>USD $M</t>
  </si>
  <si>
    <t>Engineering economics
cost estimation</t>
  </si>
  <si>
    <t>IEA (2024) GHR Assumptions Annex p.3</t>
  </si>
  <si>
    <t>EQ-5  CAPEX in NZD</t>
  </si>
  <si>
    <t>CAPEX (NZD $M) = CAPEX (USD $M) × Exchange rate</t>
  </si>
  <si>
    <t>USD $M from EQ-4
Exchange rate = 1.70 NZD/USD</t>
  </si>
  <si>
    <t>NZD $M</t>
  </si>
  <si>
    <t>Currency conversion</t>
  </si>
  <si>
    <t>EQ-6  Injection-constrained M_H2</t>
  </si>
  <si>
    <t>M_H2 (kg/yr) = Injection rate (MCM/day) × Injection days × H2 density (kg/MCM)</t>
  </si>
  <si>
    <t>Injection rate from AhuroaStorage.xlsx
Injection days from AhuroaStorage.xlsx
H2 density = 89,900 kg/MCM</t>
  </si>
  <si>
    <t>kg/yr</t>
  </si>
  <si>
    <t>AhuroaStorage.xlsx (2020–2023)
+ NIST standard H2 density</t>
  </si>
  <si>
    <t>EQ-7  H2 density per MCM</t>
  </si>
  <si>
    <t>kg/MCM = H2 density (kg/m³) × 1,000,000 (m³/MCM)</t>
  </si>
  <si>
    <t>H2 density = 0.0899 kg/m³ at STP (0°C, 1 atm)
1 MCM = 1,000,000 m³</t>
  </si>
  <si>
    <t>kg/MCM</t>
  </si>
  <si>
    <t>Physical constant
+ unit conversion</t>
  </si>
  <si>
    <t>NIST Chemistry WebBook
H2 molecular weight 2.016 g/mol</t>
  </si>
  <si>
    <t>EQ-8  OPEX maintenance</t>
  </si>
  <si>
    <t>OPEX maintenance (NZD $M/yr) = CAPEX (NZD $M) × 0.03</t>
  </si>
  <si>
    <t>CAPEX from EQ-5
3% annual OPEX rate from IEA GHR 2024 p.3
(includes stack replacement)</t>
  </si>
  <si>
    <t>NZD $M/yr</t>
  </si>
  <si>
    <t>IEA standard rate
applied to CAPEX</t>
  </si>
  <si>
    <t>IEA (2024) GHR Assumptions Annex
p.3 | Row: Annual OPEX = 3%</t>
  </si>
  <si>
    <t>EQ-9  OPEX electricity</t>
  </si>
  <si>
    <t>OPEX elec (NZD $M/yr) = M_H2 × LHV ÷ η × P_elec ÷ 1,000,000</t>
  </si>
  <si>
    <t>M_H2 (kg/yr) from EQ-6 or working gas
LHV = 33.3 kWh/kg
η = 0.66
P_elec = 0.10 NZD/kWh (= 100 NZD/MWh)</t>
  </si>
  <si>
    <t>EQ-1 applied with NZ price
(dominant cost item)</t>
  </si>
  <si>
    <t>NZ electricity: MBIE Hydrogen Economic
Modelling Report Dec 2023, p.48 Fig 40</t>
  </si>
  <si>
    <t>EQ-10  Total OPEX</t>
  </si>
  <si>
    <t>Total OPEX (NZD $M/yr) = OPEX maintenance + OPEX electricity</t>
  </si>
  <si>
    <t>From EQ-8 and EQ-9</t>
  </si>
  <si>
    <t>Simple summation</t>
  </si>
  <si>
    <t>Derived from EQ-8 and EQ-9</t>
  </si>
  <si>
    <t>EQ-11  Stack replacements</t>
  </si>
  <si>
    <t>Replacements = Project life (yrs) × Operating hours (hrs/yr) ÷ Stack lifetime (hrs)</t>
  </si>
  <si>
    <t>Project life = 30 years
Operating hours = 8,760 hrs/yr
Stack lifetime = 50,000 hrs</t>
  </si>
  <si>
    <t>count (number)</t>
  </si>
  <si>
    <t>Informational only
(cost in 3% OPEX rate)</t>
  </si>
  <si>
    <t>Reserve Bank of New Zealand - May 2025</t>
  </si>
  <si>
    <t>IEA GHR 2024 p.3 - stack lifetime
Lord et al. (2014) - project life</t>
  </si>
  <si>
    <t>Derived - site-specific
from operational data</t>
  </si>
  <si>
    <t>2023 Value
(Current)</t>
  </si>
  <si>
    <t>NZE 2030
(Projection)</t>
  </si>
  <si>
    <t>Page / Table / Row</t>
  </si>
  <si>
    <t>USD/kWe</t>
  </si>
  <si>
    <t>p.3 | Table: 'Production pathways — Hydrogen (Water electrolysis)' | Row: 'CAPEX* (global average)'</t>
  </si>
  <si>
    <t>2023 value used for conservative and base case. NZE 2030 used for optimistic sensitivity only. IEA notes only 4% of announced pipeline has reached FID as of 2024.</t>
  </si>
  <si>
    <t>p.3 | Table: 'Production pathways — Hydrogen' | Row: 'CAPEX* (China)'</t>
  </si>
  <si>
    <t>Efficiency (LHV)</t>
  </si>
  <si>
    <t>% LHV</t>
  </si>
  <si>
    <t>p.3 | Table: 'Production pathways — Hydrogen' | Row: 'Efficiency (LHV)'</t>
  </si>
  <si>
    <t>Annual OPEX</t>
  </si>
  <si>
    <t>3%</t>
  </si>
  <si>
    <t>% of CAPEX per year</t>
  </si>
  <si>
    <t>p.3 | Table: 'Production pathways — Hydrogen' | Row: 'Annual OPEX'</t>
  </si>
  <si>
    <t>Includes stack replacement cost implicitly. Do NOT add separate stack replacement cost on top of this.</t>
  </si>
  <si>
    <t>operating hours</t>
  </si>
  <si>
    <t>p.3 | Table: 'Production pathways — Hydrogen' | Row: 'Stack lifetime (operating hours)**'</t>
  </si>
  <si>
    <t>At 8,760 hrs/yr: 50,000 ÷ 8,760 = 5.7 yrs per stack. Over 30-yr project = ~5 replacements.</t>
  </si>
  <si>
    <t>Electrolyser system CAPEX - global average</t>
  </si>
  <si>
    <t>Electrolyser system CAPEX - China (reference only)</t>
  </si>
  <si>
    <t>Stack lifetime - optimum economic value</t>
  </si>
  <si>
    <t xml:space="preserve">Listed for reference only. NOT used in Ahuroa model </t>
  </si>
  <si>
    <t>LHV = Lower Heating Value basis, 66% used.</t>
  </si>
  <si>
    <t>IEA (2024). Global Hydrogen Review 2024: Assumptions Annex. International Energy Agency, Paris. CC BY 4.0. URL: https://iea.blob.core.windows.net/assets/36017d2f-747b-4993-b06d-33209fe143fa/GHR24AssumptionsAnnex.pdf</t>
  </si>
  <si>
    <t>3. AHUROA OPERATIONAL PARAMETERS FROM AhuroaStorage.xlsx</t>
  </si>
  <si>
    <t>Derivation</t>
  </si>
  <si>
    <t>Average daily injection rate</t>
  </si>
  <si>
    <t>MCM/day</t>
  </si>
  <si>
    <t>Average of positive CHANGE_IN_STORAGE_TJ values ÷ 35.8 TJ/MCM = 21.6 TJ/day ÷ 35.8 = 0.60 MCM/day</t>
  </si>
  <si>
    <t>Annual injection days</t>
  </si>
  <si>
    <t>days/yr</t>
  </si>
  <si>
    <t>Count of days with positive CHANGE_IN_STORAGE_TJ across 2020–2023. Total 1,176 injection days ÷ 6 years = 196 days/yr.</t>
  </si>
  <si>
    <t>Seasonal pattern: inject April–October. Withdrawal: November–March.</t>
  </si>
  <si>
    <t>H2 density at standard conditions</t>
  </si>
  <si>
    <t>kg/m³</t>
  </si>
  <si>
    <t>H2 molecular weight = 2.016 g/mol. At STP (0°C, 1 atm): density = 0.0899 kg/m³. Standard physical constant.</t>
  </si>
  <si>
    <t>Used in EQ-7 to convert MCM (volume) to kg (mass).</t>
  </si>
  <si>
    <t>H2 density per MCM  (EQ-7)</t>
  </si>
  <si>
    <t>EQ-7: 0.0899 kg/m³ × 1,000,000 m³/MCM = 89,900 kg/MCM</t>
  </si>
  <si>
    <t>Converts Ahuroa injection volume in MCM to mass of H2 in kg.</t>
  </si>
  <si>
    <t>EQ-6: 0.60 MCM/day × 196 days × 89,900 kg/MCM = 10,572,240 kg/yr = 0.352 TWh H2</t>
  </si>
  <si>
    <t>0.45 × 10⁹ Wh ÷ 33.3 Wh/g = 13,513,514 kg</t>
  </si>
  <si>
    <t>Contact Energy (2022). Used for conservative sensitivity case only.</t>
  </si>
  <si>
    <t>Working gas 1.40 TWh ÷ LHV 33.3 kWh/kg × 1,000,000</t>
  </si>
  <si>
    <t>1.40 × 10⁹ Wh ÷ 33.3 Wh/g = 42,042,042 kg</t>
  </si>
  <si>
    <t>Higgs et al. (2024) Table 6 p.14. Used for optimistic sensitivity case only.</t>
  </si>
  <si>
    <t>Annual injectable H2 - BASE CASE  (EQ-6)</t>
  </si>
  <si>
    <t>M_H2 - OPTIMISTIC (working gas basis)</t>
  </si>
  <si>
    <t>AhuroaStorage.xlsx - daily operational data 2020–2023</t>
  </si>
  <si>
    <t>Calculated - EQ-7</t>
  </si>
  <si>
    <t>Calculated - EQ-6 | AhuroaStorage.xlsx + NIST</t>
  </si>
  <si>
    <t>NIST Chemistry WebBook - National Institute of Standards and Technology</t>
  </si>
  <si>
    <t>Natural gas injection rate. Used as physical flow rate proxy for H2 - same infrastructure, same MCM/day.</t>
  </si>
  <si>
    <t>PRIMARY BASE CASE. Injection rate is binding constraint - not working gas volume. Sizing electrolyser above this rate wastes capital.</t>
  </si>
  <si>
    <t>2. Assumptions - From IEA (2024)</t>
  </si>
  <si>
    <t>4. Other parameters used in calculations</t>
  </si>
  <si>
    <t>Page / Section</t>
  </si>
  <si>
    <t>H2 LHV</t>
  </si>
  <si>
    <t>Standard thermodynamic constant</t>
  </si>
  <si>
    <t>IEA/IRENA standard</t>
  </si>
  <si>
    <t>Lower Heating Value. Used in EQ-1, EQ-6, EQ-9.</t>
  </si>
  <si>
    <t>decimal (66%)</t>
  </si>
  <si>
    <t>IEA (2024) GHR Assumptions Annex</t>
  </si>
  <si>
    <t>p.3 | Row: Efficiency (LHV) | 2023 value</t>
  </si>
  <si>
    <t>Convert to decimal for EQ-1: 66% ÷ 100 = 0.66</t>
  </si>
  <si>
    <t>NZD/USD</t>
  </si>
  <si>
    <t>Reserve Bank of New Zealand</t>
  </si>
  <si>
    <t>May 2025 current market rate</t>
  </si>
  <si>
    <t>NZ wholesale electricity price</t>
  </si>
  <si>
    <t>MBIE Hydrogen Economic Modelling Report Dec 2023</t>
  </si>
  <si>
    <t>p.48 | Figure 40</t>
  </si>
  <si>
    <t>Project lifetime</t>
  </si>
  <si>
    <t>Lord et al. (2014). Deng et al. (2025).</t>
  </si>
  <si>
    <t>Lord: p.6 Table 2 | Deng: p.17 S4.3</t>
  </si>
  <si>
    <t>Electrolyser plant lifetime assumed equal to project lifetime. IEA does not state electrolysis lifetime.</t>
  </si>
  <si>
    <t>hrs/yr</t>
  </si>
  <si>
    <t>Own assumption</t>
  </si>
  <si>
    <t>Grid-connected electricity basis</t>
  </si>
  <si>
    <t>H2 withdrawal efficiency</t>
  </si>
  <si>
    <t>Liu et al. (2025)</t>
  </si>
  <si>
    <t>p.17 | Section 3.5</t>
  </si>
  <si>
    <t>Applied to M_H2 in LCOH: M_H2_effective = M_H2 × 0.90</t>
  </si>
  <si>
    <t>H2 diffusion loss rate</t>
  </si>
  <si>
    <t>%/yr</t>
  </si>
  <si>
    <t>Pan et al. (2021)</t>
  </si>
  <si>
    <t>p.6 | Diffusion losses</t>
  </si>
  <si>
    <t>Applied to M_H2: M_H2_net = M_H2_eff × 0.99</t>
  </si>
  <si>
    <t>Operating hours per year - base case</t>
  </si>
  <si>
    <t>See Assumptions 1 sheet</t>
  </si>
  <si>
    <t xml:space="preserve">Used in EQ-5. </t>
  </si>
  <si>
    <t xml:space="preserve">Electrolyser runs continuously on grid power = 365 × 24 = 8,760 hrs/yr. </t>
  </si>
  <si>
    <t>Note: Water costs excluded from IEA(2024) cost analysis</t>
  </si>
  <si>
    <t>Calculation Step</t>
  </si>
  <si>
    <t>Equation Used
(see Assumptions S1)</t>
  </si>
  <si>
    <t>M_H2 used in each scenario</t>
  </si>
  <si>
    <t>See Assumptions Sheet
Section 3</t>
  </si>
  <si>
    <t>CAPEX rate used</t>
  </si>
  <si>
    <t>IEA GHR 2024 p.3</t>
  </si>
  <si>
    <t>Operating hours per year</t>
  </si>
  <si>
    <t>See Assumptions S4</t>
  </si>
  <si>
    <t>Annual energy required</t>
  </si>
  <si>
    <t>EQ-1:
Energy = M_H2 × LHV ÷ η
= M_H2 × 33.3 kWh/kg ÷ 0.66</t>
  </si>
  <si>
    <t>MWh/yr</t>
  </si>
  <si>
    <t>Capacity (kW)</t>
  </si>
  <si>
    <t>EQ-2:
Capacity (kW) = Energy (kWh/yr) ÷ Operating hours (hrs/yr)</t>
  </si>
  <si>
    <t>Capacity (MW)</t>
  </si>
  <si>
    <t>EQ-3:
Capacity (MW) = Capacity (kW) ÷ 1,000</t>
  </si>
  <si>
    <t>CAPEX (USD $M)</t>
  </si>
  <si>
    <t>EQ-4:
CAPEX (USD $M) = Capacity (kW) × Rate (USD/kWe) ÷ 1,000,000</t>
  </si>
  <si>
    <t>CAPEX (NZD $M)  ← FINAL CAPEX RESULT</t>
  </si>
  <si>
    <t>EQ-5:
CAPEX (NZD $M) = CAPEX (USD $M) × 1.70</t>
  </si>
  <si>
    <t>ELECTROLYSER CAPEX CALCULATIONS - Ahuroa UHS Facility</t>
  </si>
  <si>
    <t>STEP 0 - SCENARIO DEFINITIONS</t>
  </si>
  <si>
    <t>STEP 1 - Annual energy required by electrolyser  (EQ-1)</t>
  </si>
  <si>
    <t>STEP 2 - Required electrolyser capacity  (EQ-2 and EQ-3)</t>
  </si>
  <si>
    <t>STEP 3 - Electrolyser CAPEX in USD  (EQ-4)</t>
  </si>
  <si>
    <t>STEP 4 - Electrolyser CAPEX in NZD — FINAL RESULT  (EQ-5)</t>
  </si>
  <si>
    <t>Same - converted to MWh/yr</t>
  </si>
  <si>
    <t>OPEX Component</t>
  </si>
  <si>
    <t>Source / Notes</t>
  </si>
  <si>
    <t>EQ-11: 30 × hrs/yr ÷ 50,000</t>
  </si>
  <si>
    <t>number</t>
  </si>
  <si>
    <t>Annual maintenance OPEX  (NZD $M/yr)</t>
  </si>
  <si>
    <t>EQ-8:
OPEX maint = CAPEX (NZD $M) × 0.03</t>
  </si>
  <si>
    <t>Con: 285.80 × 0.03 = NZD 8.574M/yr
Base: 223.60 × 0.03 = NZD 6.708M/yr
Opt: 395.18 × 0.03 = NZD 11.855M/yr
IEA (2024) GHR Assumptions Annex p.3 | Row: Annual OPEX = 3%</t>
  </si>
  <si>
    <t>Annual electricity cost  (NZD $M/yr)</t>
  </si>
  <si>
    <t>EQ-9:
C_elec = M_H2 × LHV ÷ η × 0.10 ÷ 1,000,000
= EQ-1 result × 0.10 ÷ 1,000,000</t>
  </si>
  <si>
    <t>P_elec = NZD 0.10/kWh = 100 NZD/MWh
Source: MBIE Hydrogen Economic Modelling Report Dec 2023 p.48 Fig 40
Con: 681,818,182 kWh × 0.10 ÷ 1,000,000 = NZD 68.182M/yr
Base: 533,417,564 kWh × 0.10 ÷ 1,000,000 = NZD 53.342M/yr
Opt: 2,121,212,121 kWh × 0.10 ÷ 1,000,000 = NZD 212.121M/yr</t>
  </si>
  <si>
    <t>TOTAL ANNUAL ELECTROLYSER OPEX  (EQ-10: maintenance + electricity)</t>
  </si>
  <si>
    <t>Conservative</t>
  </si>
  <si>
    <t>Base Case</t>
  </si>
  <si>
    <t>Optimistic</t>
  </si>
  <si>
    <t>TOTAL ELECTROLYSER OPEX  (NZD $M/yr)</t>
  </si>
  <si>
    <t>EQ-10: Maint + Electricity</t>
  </si>
  <si>
    <t>Feeds into LCOH numerator. Add to storage OPEX (NZD 13.3M/yr).</t>
  </si>
  <si>
    <t>ELECTROLYSER OPEX CALCULATIONS - Annual Operating Costs for Ahuroa UHS</t>
  </si>
  <si>
    <t xml:space="preserve"> All equations from Assumptions Sheet Section 1.</t>
  </si>
  <si>
    <t xml:space="preserve">IEA GHR 2024 p.3 - Annual OPEX row = 3% of CAPEX per year. </t>
  </si>
  <si>
    <t xml:space="preserve">Stack replacements over 30 years  </t>
  </si>
  <si>
    <t>OPEX PART 1 - Maintenance and Stack Replacement  (EQ-8: 3% of CAPEX per year)</t>
  </si>
  <si>
    <t>OPEX PART 2 - Electrolyser Electricity Cost  (EQ-9: dominant cost)</t>
  </si>
  <si>
    <t xml:space="preserve"> EQ-9: C_elec = M_H2 × LHV ÷ η × 0.10 NZD/kWh ÷ 1,000,000</t>
  </si>
  <si>
    <t>Deng et.al. 2025 suggests 60% of equipment reusability in base case scenario. Taking this information into consideration, three scenarios are identified for sensitivity analysis</t>
  </si>
  <si>
    <t>90,000 $/MCM × 170 MCM = $15.3M USD</t>
  </si>
  <si>
    <t>23,815 $/MCM × 170 MCM = $4.05M USD</t>
  </si>
  <si>
    <t>IEA GHR 2024</t>
  </si>
  <si>
    <t>Winter/dry-year stress scenario - sensitivity only</t>
  </si>
  <si>
    <t>Physical/thermodynamic parameter - stable across contexts</t>
  </si>
  <si>
    <t xml:space="preserve">LCOH Calculation </t>
  </si>
  <si>
    <t xml:space="preserve">Formula </t>
  </si>
  <si>
    <t xml:space="preserve">LCOH = (CAPEX_storage × CRF + CAPEX_electrolyser × CRF 
        + OPEX_storage + OPEX_electrolyser + C_energy) 
        ÷ M_H2_effective,Where:
M_H2_effective = M_H2 × withdrawal efficiency × (1 − loss rate)
C_energy = M_H2_effective × compression energy × electricity price
</t>
  </si>
  <si>
    <t>Linked from CAPEX sheets</t>
  </si>
  <si>
    <t xml:space="preserve">Linked from OPEX sheets  </t>
  </si>
  <si>
    <t>Standard LCOH modelling structure. 
Lord et al.2014 Page 6. 
Reference in Yousefi et al. 2023 Page 28828.</t>
  </si>
  <si>
    <t>Annual H2 output according to for ahuroa injection data</t>
  </si>
  <si>
    <t>M_H2_Effective</t>
  </si>
  <si>
    <t>Hydrogen diffussion loss rate</t>
  </si>
  <si>
    <t>1% from Pan et al.2021 page 6</t>
  </si>
  <si>
    <t xml:space="preserve">C_energy </t>
  </si>
  <si>
    <t>NZD/KWh</t>
  </si>
  <si>
    <t>$ M NZD/year</t>
  </si>
  <si>
    <t>Units adjusted</t>
  </si>
  <si>
    <t>1 Million=1000000 NZD, Units adjusted</t>
  </si>
  <si>
    <t>$/kg_H_2</t>
  </si>
  <si>
    <t>BASE Case Values</t>
  </si>
  <si>
    <t xml:space="preserve">CONSERVATIVE </t>
  </si>
  <si>
    <t xml:space="preserve">Optimistic </t>
  </si>
  <si>
    <t>Scenario description</t>
  </si>
  <si>
    <t>LCOH (Storage+production)</t>
  </si>
  <si>
    <t>LCOH (Storage only)</t>
  </si>
  <si>
    <t>CAPEX (NZD $M) (Storage+Production)</t>
  </si>
  <si>
    <t>OPEX (NZD $M/year) (Storage+Production)</t>
  </si>
  <si>
    <t>CAPEX (NZD $M) (Storage only)</t>
  </si>
  <si>
    <t>Linked from CAPEX Storage sheet</t>
  </si>
  <si>
    <t>OPEX (NZD $M/year) (Storage only)</t>
  </si>
  <si>
    <t>Linked from OPEX production sheet</t>
  </si>
  <si>
    <t>MWh to KWh conversion</t>
  </si>
  <si>
    <t>Comparison of obtained LCOH values with theoretical benchmarks</t>
  </si>
  <si>
    <t>Production
+ Storage</t>
  </si>
  <si>
    <t>At top of MBIE near-term range (6-10).
Higher due to lower equipment
reusability and smaller working
gas capacity.</t>
  </si>
  <si>
    <t>Marginally above MBIE range.
Original finding: injection rate
is binding constraint not
reservoir working gas volume.</t>
  </si>
  <si>
    <t>Within MBIE near-term range.
Achievable with full capacity
utilisation and 2030
electrolyser cost reductions.</t>
  </si>
  <si>
    <t>BASE CASE
(Storage only)</t>
  </si>
  <si>
    <t>Storage only</t>
  </si>
  <si>
    <t>For comparison with
storage-only benchmarks.
Consistent with Lord et al.
(2014) and Yousefi et al.
(2023).</t>
  </si>
  <si>
    <t>CONSERVATIVE
(Storage Only)</t>
  </si>
  <si>
    <t>1. RESULTS OF THIS MODELLING FOR AHUROA UHS FACILITY</t>
  </si>
  <si>
    <t>2. New Zealand Benchmarks</t>
  </si>
  <si>
    <t>Benchmark</t>
  </si>
  <si>
    <t>Scope</t>
  </si>
  <si>
    <t>Geography</t>
  </si>
  <si>
    <t>MBIE NZ green H2
near-term</t>
  </si>
  <si>
    <t>6 – 10</t>
  </si>
  <si>
    <t>New Zealand</t>
  </si>
  <si>
    <t>MBIE NZ Hydrogen Scenarios
Report Sept 2022
p.41 | Figure 5.2</t>
  </si>
  <si>
    <t>MBIE NZ green H2
long-term 2050</t>
  </si>
  <si>
    <t>2.87 – 3.73</t>
  </si>
  <si>
    <t>Production only</t>
  </si>
  <si>
    <t>3. International benchmarks</t>
  </si>
  <si>
    <t>Original Value</t>
  </si>
  <si>
    <t>Lord et al. (2014)
depleted reservoir</t>
  </si>
  <si>
    <t>3.23
(storage only)</t>
  </si>
  <si>
    <t>United States</t>
  </si>
  <si>
    <t>USD 1.90/kg × 1.70</t>
  </si>
  <si>
    <t>Lord et al. (2014)
Int. J. Hydrogen Energy
39(28) 15570-15582
p.8 | Figure 3</t>
  </si>
  <si>
    <t>Lord et al. (2014)
inflation adjusted to 2025</t>
  </si>
  <si>
    <t>3.56
(storage only)</t>
  </si>
  <si>
    <t>USD 1.23/kg (2007 USD)
× 1.03^18 × 1.70</t>
  </si>
  <si>
    <t>Lord et al. (2014)
p.8 | Figure 3
+ CPI inflation 3%/yr</t>
  </si>
  <si>
    <t>Yousefi et al. (2023)
Dutch depleted gas field</t>
  </si>
  <si>
    <t>1.46
(storage only)</t>
  </si>
  <si>
    <t>Netherlands</t>
  </si>
  <si>
    <t>EUR 0.79/kg × 1.85</t>
  </si>
  <si>
    <t>Yousefi et al. (2023)
Int. J. Hydrogen Energy
48(74) 28824-28842
p.28831 | Table 3</t>
  </si>
  <si>
    <t>Yousefi et al. (2023)
sensitivity range</t>
  </si>
  <si>
    <t>1.07 – 1.92
(storage only)</t>
  </si>
  <si>
    <t>EUR 0.58-1.04/kg × 1.85</t>
  </si>
  <si>
    <t>Yousefi et al. (2023)
p.28831 | Table 3
Sensitivity analysis</t>
  </si>
  <si>
    <t>Sensitivity study of LCOH values based on other varying parameters</t>
  </si>
  <si>
    <t>1. Electricity Price</t>
  </si>
  <si>
    <t>2. Discount Rate</t>
  </si>
  <si>
    <t>6. H2 Loss rate</t>
  </si>
  <si>
    <t>Electrolyser efficiency (eta)</t>
  </si>
  <si>
    <t>Informational only - cost captured in 3% maintenance rate
Base: 30 × 8,760 ÷ 50,000 = 5.3 replacements
IEA GHR 2024 p.3 footnote **: stack lifetime 50,000 hrs</t>
  </si>
  <si>
    <t>LCOH Conservative</t>
  </si>
  <si>
    <t>LCOH Conservative (S+P)</t>
  </si>
  <si>
    <t>LCOH Base(S+P)</t>
  </si>
  <si>
    <t>LCOH Optimistic (S+P)</t>
  </si>
  <si>
    <t>LCOH Conservative (S only)</t>
  </si>
  <si>
    <t>LCOH Base(S only)</t>
  </si>
  <si>
    <t>LCOH Optimistic (S only)</t>
  </si>
  <si>
    <t>LCOH Base</t>
  </si>
  <si>
    <t>LCOH Optimistic</t>
  </si>
  <si>
    <t xml:space="preserve">LCOH Conservative </t>
  </si>
  <si>
    <t>3. Electrolyser Efficiency</t>
  </si>
  <si>
    <t>4. Total Hours of Working (Capacity Factor)</t>
  </si>
  <si>
    <t>Very Low</t>
  </si>
  <si>
    <t>5. Electrolyser CAPEX</t>
  </si>
  <si>
    <t>hours/year</t>
  </si>
  <si>
    <t>USD/Kwe</t>
  </si>
  <si>
    <t>1. CAPEX Breakdown Chart table</t>
  </si>
  <si>
    <t>Well infrastructure</t>
  </si>
  <si>
    <t>Surface facilities</t>
  </si>
  <si>
    <t>Cushion gas system</t>
  </si>
  <si>
    <t>Contigency</t>
  </si>
  <si>
    <t>Electrolyser Plant</t>
  </si>
  <si>
    <t>Total</t>
  </si>
  <si>
    <t>2. OPEX Breakdown Chart Table</t>
  </si>
  <si>
    <t>Production Costs</t>
  </si>
  <si>
    <t>UHS facility Operation</t>
  </si>
  <si>
    <t>Indirect Expenses</t>
  </si>
  <si>
    <t>Annual Maintanance Cost</t>
  </si>
  <si>
    <t>Annual Electricity Cost</t>
  </si>
  <si>
    <t>3. Sensitivity Tornado chart</t>
  </si>
  <si>
    <t>Electricity price</t>
  </si>
  <si>
    <t>Discount rate</t>
  </si>
  <si>
    <t>Capacity factor</t>
  </si>
  <si>
    <t>Eletrolyser CAPEX</t>
  </si>
  <si>
    <t>H_2 Loss rate</t>
  </si>
  <si>
    <t>Low impact (Low-Base)</t>
  </si>
  <si>
    <t>High Impact (High-Base)</t>
  </si>
  <si>
    <t>Difference</t>
  </si>
  <si>
    <t>4. Electricity Price vs LCOH Chart</t>
  </si>
  <si>
    <t xml:space="preserve"> Electricity Price</t>
  </si>
  <si>
    <t>5. Scenarios and LCOH</t>
  </si>
  <si>
    <t>6. Benchmarks</t>
  </si>
  <si>
    <t xml:space="preserve">3.23
</t>
  </si>
  <si>
    <t xml:space="preserve">1.46
</t>
  </si>
  <si>
    <t xml:space="preserve">1.07 – 1.92
</t>
  </si>
  <si>
    <t>Lord et al.(2014) inflation adjusted to 2025</t>
  </si>
  <si>
    <t>Yousefi et al. (2023)</t>
  </si>
  <si>
    <t>Yousefi et al. (2023) sensitivity range</t>
  </si>
  <si>
    <t>Conservative/Base case = injection-rate constrained from AhuroaStorage.xlsx. Optimistic = working gas scenarios. All equations referenced to Electrolyser Assumptions sheet Section 1.</t>
  </si>
  <si>
    <t>M_H2 - CONSERVATIVE (working gas basis)(theoretical value assumed for electrolyser sizing)</t>
  </si>
  <si>
    <t>From Electrolyser Assumptions, except conservative case where LCOH is calculated with actual value from ahuroa</t>
  </si>
  <si>
    <t>Equation ID</t>
  </si>
  <si>
    <t>Explanation</t>
  </si>
  <si>
    <t>EQ-CCGT-1</t>
  </si>
  <si>
    <t>Heat rate (GJ/MWh) = 3.6 ÷ η</t>
  </si>
  <si>
    <t>η = CCGT thermal efficiency &amp; unit conversion (1 MWh = 3.6 GJ) applied</t>
  </si>
  <si>
    <t>GJ/MWh</t>
  </si>
  <si>
    <t>Standard thermodynamic unit conversion</t>
  </si>
  <si>
    <t>EQ-CCGT-2</t>
  </si>
  <si>
    <t>H2 consumption (kg/MWh) = 1,000 ÷ (LHV_H2 × η)</t>
  </si>
  <si>
    <t>LHV_H2 = 33.3 kWh/kg,
η = CCGT efficiency on hydrogen
1,000 = converts MWh to kWh</t>
  </si>
  <si>
    <t>kg/MWh</t>
  </si>
  <si>
    <t>Energy balance equation</t>
  </si>
  <si>
    <t>EQ-CCGT-3</t>
  </si>
  <si>
    <t>Annual H2 demand (kg/yr) = Annual MWh × H2 consumption (kg/MWh)</t>
  </si>
  <si>
    <t>Annual MWh = TCC annual generation from operational data</t>
  </si>
  <si>
    <t>EQ-CCGT-2 applied to annual output</t>
  </si>
  <si>
    <t>EQ-CCGT-4a</t>
  </si>
  <si>
    <t>NG fuel cost (NZD/MWh) = NG price (NZD/GJ) × heat rate (GJ/MWh)</t>
  </si>
  <si>
    <t>NG price = NZ wholesale gas price,
Heat rate from EQ-CCGT-1</t>
  </si>
  <si>
    <t>EQ-CCGT-4b</t>
  </si>
  <si>
    <t>H2 fuel cost (NZD/MWh) = LCOH (NZD/kg) × H2 consumption (kg/MWh)</t>
  </si>
  <si>
    <t>LCOH from LCOH sheet (three scenarios),
H2 consumption from EQ-CCGT-2</t>
  </si>
  <si>
    <t xml:space="preserve"> links LCOH model to CCGT module</t>
  </si>
  <si>
    <t>EQ-CCGT-5</t>
  </si>
  <si>
    <t>Fixed O&amp;M per MWh = (Fixed O&amp;M NZD/kW/yr × Capacity kW) ÷ Annual MWh</t>
  </si>
  <si>
    <t>Fixed O&amp;M rate from Garcia &amp; Guédez Table B1,
Capacity = TCC 383 MW = 383,000 kW</t>
  </si>
  <si>
    <t>EQ-CCGT-6</t>
  </si>
  <si>
    <t>LCOE = Fuel cost + Fixed O&amp;M/MWh + Variable O&amp;M + Retrofit/MWh</t>
  </si>
  <si>
    <t>Fuel cost from EQ-CCGT-4a or 4b,
Retrofit/MWh = annualised retrofit ÷ annual MWh,
Annualised retrofit = Retrofit CAPEX × CRF</t>
  </si>
  <si>
    <t>Standard LCOE formula - Lord et al. 2014 structure</t>
  </si>
  <si>
    <t>EQ-CCGT-7</t>
  </si>
  <si>
    <t>CRF = i(1+i)^n ÷ ((1+i)^n − 1)</t>
  </si>
  <si>
    <t>i = discount rate (decimal),
n = remaining plant life (years)</t>
  </si>
  <si>
    <t>—</t>
  </si>
  <si>
    <t>Standard capital recovery factor - NZ Treasury 2024/15</t>
  </si>
  <si>
    <t>EQ-CCGT-8</t>
  </si>
  <si>
    <t>Cost gap (NZD/MWh) = LCOE_H2 − LCOE_NG</t>
  </si>
  <si>
    <t>LCOE_H2 from EQ-CCGT-6 hydrogen scenario,
LCOE_NG from EQ-CCGT-6 natural gas scenario</t>
  </si>
  <si>
    <t>EQ-CCGT-9</t>
  </si>
  <si>
    <t>Carbon price breakeven (NZD/tCO2) = Cost gap ÷ CO2 factor_NG</t>
  </si>
  <si>
    <t>CO2 factor_NG = 0.35 tCO2/MWh (natural gas CCGT emissions),
CO2 factor_H2 = 0 (hydrogen is zero-carbon)</t>
  </si>
  <si>
    <t>NZD/tCO2</t>
  </si>
  <si>
    <t>Garcia &amp; Guédez p.9 Section 5.1 - CO2 factor</t>
  </si>
  <si>
    <t>EQ-CCGT-10</t>
  </si>
  <si>
    <t>LCOE_NG_with_carbon = LCOE_NG + (CO2 factor × carbon price)</t>
  </si>
  <si>
    <t>CO2 factor = 0.35 tCO2/MWh,
Carbon price = NZ ETS price or sensitivity value</t>
  </si>
  <si>
    <t>EQ-CCGT-11</t>
  </si>
  <si>
    <t>Ahuroa supply % of TCC demand = M_H2_effective ÷ Annual H2 demand × 100</t>
  </si>
  <si>
    <t>M_H2_effective from LCOH model (three scenarios),
Annual H2 demand from EQ-CCGT-3</t>
  </si>
  <si>
    <t>2. TCC Plant Parameters (CCGT plant from Stratford Power Station)</t>
  </si>
  <si>
    <t>TCC installed capacity</t>
  </si>
  <si>
    <t>MR2016 Monitoring Report - Contact Energy</t>
  </si>
  <si>
    <t>Section 2.1 | Process Description</t>
  </si>
  <si>
    <t>TCC thermal efficiency (natural gas)</t>
  </si>
  <si>
    <t>Section 2.1 | Improved efficiency value</t>
  </si>
  <si>
    <t>Design efficiency 56.0%. Improved efficiency 56.7% used as base case.</t>
  </si>
  <si>
    <t xml:space="preserve">TCC thermal efficiency - hydrogen </t>
  </si>
  <si>
    <t>Garcia &amp; Guédez (2025) Table 2-3 pp.8-9 + stated assumption</t>
  </si>
  <si>
    <t xml:space="preserve">Table A1 Appendix </t>
  </si>
  <si>
    <t xml:space="preserve">Assumed equal to natural gas efficiency. Garcia &amp; Guédez confirm 57-58% for comparable CCGT on H2. </t>
  </si>
  <si>
    <t>TCC annual electricity generation</t>
  </si>
  <si>
    <t>power-technology.com - Taranaki Combined Cycle plant profile</t>
  </si>
  <si>
    <t>Plant profile data</t>
  </si>
  <si>
    <t>1,071,000 MWh/year. Implied capacity factor = 1,071,000 / (383 × 8,760) = 31.9%.</t>
  </si>
  <si>
    <t>TCC remaining plant life</t>
  </si>
  <si>
    <t>MR2016 - commissioned 1998. CCGT design life 30-40 years.</t>
  </si>
  <si>
    <t xml:space="preserve">Section 2.1 </t>
  </si>
  <si>
    <t>2025 − 1998 = 27 years operational. Assuming 20 years remaining to 2045. Conservative sensitivity: 10 years.</t>
  </si>
  <si>
    <t>CO2 emissions factor - natural gas CCGT</t>
  </si>
  <si>
    <t>tCO2/MWh</t>
  </si>
  <si>
    <t>Garcia &amp; Guédez (2025) Page 9 Section 5.1</t>
  </si>
  <si>
    <t xml:space="preserve">p.9 | Section 5.1 </t>
  </si>
  <si>
    <t>CO2 emissions factor - hydrogen CCGT</t>
  </si>
  <si>
    <t>Standard - hydrogen combustion produces water only</t>
  </si>
  <si>
    <t>Physical chemistry - H2 + 0.5O2 → H2O</t>
  </si>
  <si>
    <t>Zero direct CO2 emissions. Life-cycle emissions from green H2 production assumed zero when produced from renewable electricity.</t>
  </si>
  <si>
    <t>3. Economic Parameters</t>
  </si>
  <si>
    <t>EQ-CCGT-7 (CRF)</t>
  </si>
  <si>
    <t>NZ Treasury Circular 2024/15</t>
  </si>
  <si>
    <t>p.2 | Table of discount rates | SOC commercial rate</t>
  </si>
  <si>
    <t>EUR to NZD exchange rate</t>
  </si>
  <si>
    <t>NZD/EUR</t>
  </si>
  <si>
    <t>All EUR conversions</t>
  </si>
  <si>
    <t>May 2025 market rate</t>
  </si>
  <si>
    <t>4. O&amp;M Parameters</t>
  </si>
  <si>
    <t>CCGT fixed maintenance cost (EUR)</t>
  </si>
  <si>
    <t>EUR/kW/year</t>
  </si>
  <si>
    <t>Garcia &amp; Guédez (2025) Table B1 Appendix B</t>
  </si>
  <si>
    <t>Table B1, Appendix B Economic model</t>
  </si>
  <si>
    <t>CCGT variable maintenance cost (EUR)</t>
  </si>
  <si>
    <t>EUR/MWh</t>
  </si>
  <si>
    <t>CCGT H2 upgrade cost - &gt;30% H2 volume (EUR)</t>
  </si>
  <si>
    <t>EUR/kWel</t>
  </si>
  <si>
    <t>Table B1, Row: CCGT upgrade specific cost &gt;30%vol</t>
  </si>
  <si>
    <t>5. Fuel Parameters</t>
  </si>
  <si>
    <t>H2 lower heating value (LHV)</t>
  </si>
  <si>
    <t xml:space="preserve">Standard thermodynamic constant </t>
  </si>
  <si>
    <t>NZ wholesale natural gas price - base case (2023)</t>
  </si>
  <si>
    <t>NZD/GJ</t>
  </si>
  <si>
    <t>MBIE NZ Energy Prices data 2024</t>
  </si>
  <si>
    <t>NZ wholesale natural gas price - high sensitivity (2025)</t>
  </si>
  <si>
    <t>EECA RETA Auckland Report (2025)</t>
  </si>
  <si>
    <t>6. LCOH Values from LCOH modelling for Hydrogen storage and Production</t>
  </si>
  <si>
    <t>LCOH - Conservative</t>
  </si>
  <si>
    <t>NZD/kg H2</t>
  </si>
  <si>
    <t>LCOH - Base Case</t>
  </si>
  <si>
    <t>LCOH - Optimistic</t>
  </si>
  <si>
    <t>M_H2 effective - Conservative</t>
  </si>
  <si>
    <t>M_H2 effective - Base Case</t>
  </si>
  <si>
    <t>M_H2 effective - Optimistic</t>
  </si>
  <si>
    <t xml:space="preserve">NZ Treasury Circular 2024/15 </t>
  </si>
  <si>
    <t>Fixed O&amp;M cost</t>
  </si>
  <si>
    <t>NZD/kW/yr</t>
  </si>
  <si>
    <t>Garcia &amp; Guédez Table B1 &amp; EUR rate: Reserve Bank NZ May 2025</t>
  </si>
  <si>
    <t>Variable O&amp;M cost</t>
  </si>
  <si>
    <t xml:space="preserve">Retrofit CAPEX total </t>
  </si>
  <si>
    <t xml:space="preserve">Garcia &amp; Guédez Table B1 </t>
  </si>
  <si>
    <t xml:space="preserve">Retrofit CAPEX annualised </t>
  </si>
  <si>
    <t>EQ-CCGT-7 applied to retrofit CAPEX</t>
  </si>
  <si>
    <t>Retrofit cost per MWh</t>
  </si>
  <si>
    <t>EQ-CCGT-6 component</t>
  </si>
  <si>
    <t>Heat rate (GJ/MWh)</t>
  </si>
  <si>
    <t>EQ-CCGT-1 | Standard thermodynamic conversion | 1 MWh = 3.6 GJ</t>
  </si>
  <si>
    <t>H2 consumption per MWh electricity</t>
  </si>
  <si>
    <t>kg H2/MWh</t>
  </si>
  <si>
    <t xml:space="preserve">EQ-CCGT-2 </t>
  </si>
  <si>
    <t>Annual H2 demand at TCC</t>
  </si>
  <si>
    <t>kg H2/yr</t>
  </si>
  <si>
    <t>Fixed O&amp;M per MWh</t>
  </si>
  <si>
    <t>EQ-CCGT-5 | Garcia &amp; Guédez Table B1</t>
  </si>
  <si>
    <t>2. LCOE Calulations</t>
  </si>
  <si>
    <t>LCOE Component</t>
  </si>
  <si>
    <t>Natural Gas</t>
  </si>
  <si>
    <t>Hydrogen (Conservative)</t>
  </si>
  <si>
    <t>Hydrogen (Base Case)</t>
  </si>
  <si>
    <t>Hydrogen (Optimistic)</t>
  </si>
  <si>
    <t>Fuel cost per MWh</t>
  </si>
  <si>
    <t>EQ-CCGT-4b from LCOH model</t>
  </si>
  <si>
    <t xml:space="preserve">Fixed O&amp;M per MWh </t>
  </si>
  <si>
    <t>Garcia &amp; Guédez Table B1 - Appendix B</t>
  </si>
  <si>
    <t xml:space="preserve">Variable O&amp;M </t>
  </si>
  <si>
    <t>Retrofit cost per MWh (H2 only - zero for NG)</t>
  </si>
  <si>
    <t>Garcia &amp; Guédez Table B1 - EUR 50/kWel for &gt;30%vol H2</t>
  </si>
  <si>
    <t xml:space="preserve"> LCOE (in NZD/MWh)</t>
  </si>
  <si>
    <t>LCOE (in NZD/KWh)</t>
  </si>
  <si>
    <t xml:space="preserve"> COST COMPETITIVENESS ANALYSIS</t>
  </si>
  <si>
    <t>Metric</t>
  </si>
  <si>
    <t>Cost gap Hydrogen vs natural gas LCOE</t>
  </si>
  <si>
    <t>EQ-CCGT-8: LCOE_H2 − LCOE_NG</t>
  </si>
  <si>
    <t>EQ-CCGT-8. Positive value = H2 electricity more expensive than NG.</t>
  </si>
  <si>
    <t>Ahuroa H2 supply as % of TCC total demand</t>
  </si>
  <si>
    <t>EQ-CCGT-11: M_H2_eff ÷ Annual H2 demand × 100</t>
  </si>
  <si>
    <r>
      <t xml:space="preserve">EQ-CCGT-11. </t>
    </r>
    <r>
      <rPr>
        <sz val="11"/>
        <color rgb="FFFF0000"/>
        <rFont val="Aptos Narrow"/>
        <family val="2"/>
        <scheme val="minor"/>
      </rPr>
      <t>KEY FINDING: Ahuroa can supply only ~16-66% of TCC's hydrogen demand during base and conservative scenarios. 
Ahuroa cannot fully fuel TCC at current injection-constrained capacity at base and conservative scenarios.</t>
    </r>
  </si>
  <si>
    <t>Carbon price needed to close cost gap</t>
  </si>
  <si>
    <t>EQ-CCGT-9: Cost gap ÷ CO2 factor NG (27)</t>
  </si>
  <si>
    <t>EQ-CCGT-9. CO2 factor 0.35 tCO2/MWh: Garcia &amp; Guédez p.9 S5.1. Current NZ ETS ~NZD 60-70/tCO2. Required carbon price is far above current levels.</t>
  </si>
  <si>
    <t>Current NZ ETS carbon price (reference)</t>
  </si>
  <si>
    <t xml:space="preserve">Reference only </t>
  </si>
  <si>
    <t xml:space="preserve">NZ ETS approximate current price 2025. </t>
  </si>
  <si>
    <t>NG LCOE including current NZ ETS carbon cost</t>
  </si>
  <si>
    <t>EQ-CCGT-10: LCOE_NG + (CO2 factor × NZ ETS)</t>
  </si>
  <si>
    <t>EQ-CCGT-10 | NZ ETS adds NZD 22.75/MWh to NG electricity cost</t>
  </si>
  <si>
    <t>1. Variation of parameters with variation in Natural Gas Prices</t>
  </si>
  <si>
    <t>NG Price (NZD/GJ)</t>
  </si>
  <si>
    <t>LCOE_NG (NZD/MWh)</t>
  </si>
  <si>
    <t>LCOE_H2 Base (NZD/MWh)</t>
  </si>
  <si>
    <t>Cost Gap (NZD/MWh) (Base Case)</t>
  </si>
  <si>
    <t>Cost Gap (NZD/MWh) (Optimistic Case)</t>
  </si>
  <si>
    <t>Carbon Price Breakeven (NZD/tCO2) (Base Case)</t>
  </si>
  <si>
    <t>Carbon Price Breakeven (NZD/tCO2) (Optimistic Case)</t>
  </si>
  <si>
    <t>2. Retrofit Cost</t>
  </si>
  <si>
    <t>Retrofit Cost (EUR/kWel)</t>
  </si>
  <si>
    <t>Total NZD $M</t>
  </si>
  <si>
    <t>Retrofit per MWh (NZD)</t>
  </si>
  <si>
    <t>LCOE_H2 Conservative (NZD/MWh)</t>
  </si>
  <si>
    <t>LCOE_H2 Optimistic (NZD/MWh)</t>
  </si>
  <si>
    <t>Cost Gap (NZD/MWh) (Conservative Case)</t>
  </si>
  <si>
    <t>Carbon Price Breakeven (NZD/tCO2) (Conservative Case)</t>
  </si>
  <si>
    <t>3. Remaining Plant Life</t>
  </si>
  <si>
    <t>Remaining Life (years)</t>
  </si>
  <si>
    <t>4. CCGT efficiency on Hydrogen</t>
  </si>
  <si>
    <t>H2 Efficiency (%)</t>
  </si>
  <si>
    <t>H2 consumption (kg/MWh)</t>
  </si>
  <si>
    <t>H2 Fuel cost (NZD/MWh)</t>
  </si>
  <si>
    <t>5. LCOH Scenario Impact on LCOE and Carbon Price Breakeven</t>
  </si>
  <si>
    <t>LCOH Scenario</t>
  </si>
  <si>
    <t>LCOH (NZD/kg)</t>
  </si>
  <si>
    <t>LCOE_H2 (NZD/MWh)</t>
  </si>
  <si>
    <t>Cost Gap (NZD/MWh)</t>
  </si>
  <si>
    <t>Carbon Price Breakeven(NZD/tCO2)</t>
  </si>
  <si>
    <t xml:space="preserve">Base </t>
  </si>
  <si>
    <t>7. Variation in NZ ETS Carbon Price - Impact on NG LCOE and Cost Gap</t>
  </si>
  <si>
    <t>NZ ETS Carbon Price (NZD/tCO2)</t>
  </si>
  <si>
    <t>LCOE_NG incl. Carbon Cost (NZD/MWh)</t>
  </si>
  <si>
    <t>Chart 1 - LCOE and natural gas prices</t>
  </si>
  <si>
    <t>Chart2 - How variation in Natural gas prices influences prices at which carbon rates becomes breakeven</t>
  </si>
  <si>
    <t>Chart 3 - Would increasing Carbon pricing makes project more feasible?</t>
  </si>
  <si>
    <t>Low-Base</t>
  </si>
  <si>
    <t>High-Base</t>
  </si>
  <si>
    <t>Remaining Plant Life (yr)</t>
  </si>
  <si>
    <t>Chart 4-Ahuroa H2 supply as % of TCC total demand</t>
  </si>
  <si>
    <t>Chart 5 - Final LCOE and LCOH</t>
  </si>
  <si>
    <t xml:space="preserve"> Scenario</t>
  </si>
  <si>
    <t>Natural gas LCOE including current NZ ETS carbon cost (NZD/MWh)</t>
  </si>
  <si>
    <t>Supplementary Material - Techno-Economic Feasibility of Underground Hydrogen Storage at Ahuroa with CCGT Integration</t>
  </si>
  <si>
    <t>Hamna Habeebullah | 300678091 | Master of Renewable Energy | Victoria University of Wellington | Supervisor: AC Brent</t>
  </si>
  <si>
    <t>All monetary values in NZD 2025 unless stated. USD converted at 1.70 NZD/USD. EUR converted at 1.85 NZD/EUR (Reserve Bank NZ May 2025).</t>
  </si>
  <si>
    <t>Sheets</t>
  </si>
  <si>
    <t>Content</t>
  </si>
  <si>
    <t>S1_LCOH Assumptions</t>
  </si>
  <si>
    <t>S2_Storage CAPEX</t>
  </si>
  <si>
    <t>S3_Storage OPEX</t>
  </si>
  <si>
    <t>S4_Electrolyser Assumptions</t>
  </si>
  <si>
    <t>S5_Electrolyser CAPEX</t>
  </si>
  <si>
    <t>S6_Electrolyser OPEX</t>
  </si>
  <si>
    <t>S7_LCOH Results</t>
  </si>
  <si>
    <t>S8_Benchmark Comparison</t>
  </si>
  <si>
    <t>S9_LCOH Sensitivity</t>
  </si>
  <si>
    <t>S10_CCGT Assumptions</t>
  </si>
  <si>
    <t>S11_CCGT Calculations</t>
  </si>
  <si>
    <t>S12_Cost Competitiveness</t>
  </si>
  <si>
    <t>S13_CCGT sensitivity</t>
  </si>
  <si>
    <t>S14_LCOH Charts</t>
  </si>
  <si>
    <t>S15_CCGT Charts</t>
  </si>
  <si>
    <t>S16_Chart data LCOH</t>
  </si>
  <si>
    <t>S17_Chart data CCGT</t>
  </si>
  <si>
    <t>Input parameters for LCOH model from literature</t>
  </si>
  <si>
    <t>Storage conversion CAPEX for three scenarios</t>
  </si>
  <si>
    <t>Annual Storage Operating Costs</t>
  </si>
  <si>
    <t>Electrolyser equations and parameters</t>
  </si>
  <si>
    <t>Electrolyser CAPEX for three scenarios</t>
  </si>
  <si>
    <t>Annual electrolyser operating costs</t>
  </si>
  <si>
    <t>Full LCOH calculation and results</t>
  </si>
  <si>
    <t>LCOH compared against NZ and interanational benchmarks</t>
  </si>
  <si>
    <t>One variable sensitivity tables for six parameters affecting the LCOH</t>
  </si>
  <si>
    <t>All equations and parameters for CCGT integration module</t>
  </si>
  <si>
    <t>LCOE for Hydrogen and natural gas at TCC</t>
  </si>
  <si>
    <t>Cost gap and carbon price breakeven calculations</t>
  </si>
  <si>
    <t>Sensitivity of LCOE to gas price, retrofit, plant life, efficiency</t>
  </si>
  <si>
    <t>Data</t>
  </si>
  <si>
    <t>1. CCGT Calculations</t>
  </si>
  <si>
    <t>1. CCGT Equations &amp; Assumptions</t>
  </si>
  <si>
    <t>Sensitivity Analysis - CCGT</t>
  </si>
  <si>
    <t>Charts LCOH Analysis</t>
  </si>
  <si>
    <t>Charts - CCGT integration</t>
  </si>
  <si>
    <t>LCOH Modelling</t>
  </si>
  <si>
    <t xml:space="preserve">Charts for LCOH results and sensitivity </t>
  </si>
  <si>
    <t xml:space="preserve">Charts for LCOE and carbon price analysis </t>
  </si>
  <si>
    <t xml:space="preserve">CCGT Integration </t>
  </si>
  <si>
    <t>Charts and Chart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</si>
</sst>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_(* #,##0.0000000000_);_(* \(#,##0.0000000000\);_(* &quot;-&quot;??????????_);_(@_)"/>
    <numFmt numFmtId="166" formatCode="0.0000"/>
  </numFmts>
  <fonts count="14"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1"/>
      <color rgb="FFFF0000"/>
      <name val="Aptos Narrow"/>
      <family val="2"/>
      <scheme val="minor"/>
    </font>
    <font>
      <b/>
      <u/>
      <sz val="11"/>
      <color theme="1"/>
      <name val="Aptos Narrow"/>
      <family val="2"/>
      <scheme val="minor"/>
    </font>
    <font>
      <u/>
      <sz val="11"/>
      <color theme="1"/>
      <name val="Aptos Narrow"/>
      <family val="2"/>
      <scheme val="minor"/>
    </font>
    <font>
      <u/>
      <sz val="11"/>
      <color theme="10"/>
      <name val="Aptos Narrow"/>
      <family val="2"/>
      <scheme val="minor"/>
    </font>
    <font>
      <b/>
      <i/>
      <sz val="11"/>
      <color theme="1"/>
      <name val="Aptos Narrow"/>
      <family val="2"/>
      <scheme val="minor"/>
    </font>
    <font>
      <i/>
      <sz val="11"/>
      <color theme="1"/>
      <name val="Aptos Narrow"/>
      <family val="2"/>
      <scheme val="minor"/>
    </font>
    <font>
      <b/>
      <sz val="18"/>
      <color theme="6" tint="-0.249977111117893"/>
      <name val="Aptos Narrow"/>
      <family val="2"/>
      <scheme val="minor"/>
    </font>
    <font>
      <sz val="11"/>
      <color theme="1"/>
      <name val="Aptos Narrow"/>
      <family val="2"/>
      <charset val="1"/>
    </font>
    <font>
      <b/>
      <u/>
      <sz val="11"/>
      <color theme="0"/>
      <name val="Aptos Narrow"/>
      <family val="2"/>
      <scheme val="minor"/>
    </font>
    <font>
      <b/>
      <i/>
      <sz val="11"/>
      <color theme="0"/>
      <name val="Aptos Narrow"/>
      <family val="2"/>
      <scheme val="minor"/>
    </font>
  </fonts>
  <fills count="28">
    <fill>
      <patternFill patternType="none"/>
    </fill>
    <fill>
      <patternFill patternType="gray125"/>
    </fill>
    <fill>
      <patternFill patternType="solid">
        <fgColor theme="3" tint="0.89999084444715716"/>
        <bgColor indexed="64"/>
      </patternFill>
    </fill>
    <fill>
      <patternFill patternType="solid">
        <fgColor rgb="FFFFC000"/>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F5F571"/>
        <bgColor indexed="64"/>
      </patternFill>
    </fill>
    <fill>
      <patternFill patternType="solid">
        <fgColor rgb="FFEE511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FFCC"/>
        <bgColor indexed="64"/>
      </patternFill>
    </fill>
    <fill>
      <patternFill patternType="solid">
        <fgColor rgb="FFFF66CC"/>
        <bgColor indexed="64"/>
      </patternFill>
    </fill>
    <fill>
      <patternFill patternType="solid">
        <fgColor theme="3" tint="0.499984740745262"/>
        <bgColor indexed="64"/>
      </patternFill>
    </fill>
    <fill>
      <patternFill patternType="solid">
        <fgColor theme="9" tint="-0.499984740745262"/>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3">
    <xf numFmtId="0" fontId="0" fillId="0" borderId="0"/>
    <xf numFmtId="0" fontId="7" fillId="0" borderId="0" applyNumberFormat="0" applyFill="0" applyBorder="0" applyAlignment="0" applyProtection="0"/>
    <xf numFmtId="0" fontId="11" fillId="0" borderId="0"/>
  </cellStyleXfs>
  <cellXfs count="116">
    <xf numFmtId="0" fontId="0" fillId="0" borderId="0" xfId="0"/>
    <xf numFmtId="0" fontId="1" fillId="0" borderId="0" xfId="0" applyFont="1"/>
    <xf numFmtId="0" fontId="1" fillId="2" borderId="0" xfId="0" applyFont="1" applyFill="1"/>
    <xf numFmtId="0" fontId="1" fillId="2" borderId="0" xfId="0" applyFont="1" applyFill="1" applyAlignment="1">
      <alignment horizontal="center"/>
    </xf>
    <xf numFmtId="0" fontId="0" fillId="0" borderId="0" xfId="0" applyAlignment="1">
      <alignment horizontal="center"/>
    </xf>
    <xf numFmtId="164" fontId="0" fillId="0" borderId="0" xfId="0" applyNumberFormat="1"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wrapText="1"/>
    </xf>
    <xf numFmtId="16" fontId="0" fillId="0" borderId="0" xfId="0" applyNumberFormat="1" applyAlignment="1">
      <alignment horizontal="center"/>
    </xf>
    <xf numFmtId="0" fontId="1" fillId="3" borderId="0" xfId="0" applyFont="1" applyFill="1"/>
    <xf numFmtId="0" fontId="0" fillId="4" borderId="0" xfId="0" applyFill="1"/>
    <xf numFmtId="0" fontId="0" fillId="5" borderId="0" xfId="0" applyFill="1"/>
    <xf numFmtId="0" fontId="1" fillId="5" borderId="0" xfId="0" applyFont="1" applyFill="1"/>
    <xf numFmtId="0" fontId="1" fillId="6" borderId="0" xfId="0" applyFont="1" applyFill="1"/>
    <xf numFmtId="0" fontId="0" fillId="7" borderId="0" xfId="0" applyFill="1"/>
    <xf numFmtId="0" fontId="4" fillId="7" borderId="0" xfId="0" applyFont="1" applyFill="1"/>
    <xf numFmtId="0" fontId="1" fillId="7" borderId="0" xfId="0" applyFont="1" applyFill="1"/>
    <xf numFmtId="0" fontId="5" fillId="4" borderId="0" xfId="0" applyFont="1" applyFill="1"/>
    <xf numFmtId="0" fontId="6" fillId="4" borderId="0" xfId="0" applyFont="1" applyFill="1"/>
    <xf numFmtId="0" fontId="4" fillId="0" borderId="0" xfId="0" applyFont="1"/>
    <xf numFmtId="0" fontId="0" fillId="8" borderId="0" xfId="0" applyFill="1"/>
    <xf numFmtId="0" fontId="1" fillId="10" borderId="0" xfId="0" applyFont="1" applyFill="1"/>
    <xf numFmtId="0" fontId="1" fillId="9" borderId="0" xfId="0" applyFont="1" applyFill="1"/>
    <xf numFmtId="0" fontId="7" fillId="0" borderId="0" xfId="1"/>
    <xf numFmtId="0" fontId="3" fillId="11" borderId="0" xfId="1" applyFont="1" applyFill="1"/>
    <xf numFmtId="0" fontId="3" fillId="0" borderId="0" xfId="1" applyFont="1"/>
    <xf numFmtId="0" fontId="0" fillId="9" borderId="0" xfId="0" applyFill="1"/>
    <xf numFmtId="0" fontId="5" fillId="9" borderId="0" xfId="0" applyFont="1" applyFill="1"/>
    <xf numFmtId="0" fontId="1" fillId="12" borderId="0" xfId="0" applyFont="1" applyFill="1"/>
    <xf numFmtId="0" fontId="0" fillId="12" borderId="0" xfId="0" applyFill="1"/>
    <xf numFmtId="0" fontId="1" fillId="13" borderId="0" xfId="0" applyFont="1" applyFill="1"/>
    <xf numFmtId="0" fontId="1" fillId="13" borderId="0" xfId="0" applyFont="1" applyFill="1" applyAlignment="1">
      <alignment horizontal="center"/>
    </xf>
    <xf numFmtId="0" fontId="1" fillId="8" borderId="0" xfId="0" applyFont="1" applyFill="1"/>
    <xf numFmtId="0" fontId="5" fillId="14" borderId="0" xfId="0" applyFont="1" applyFill="1"/>
    <xf numFmtId="0" fontId="1" fillId="15" borderId="0" xfId="0" applyFont="1" applyFill="1"/>
    <xf numFmtId="0" fontId="5" fillId="15" borderId="0" xfId="0" applyFont="1" applyFill="1"/>
    <xf numFmtId="0" fontId="0" fillId="0" borderId="0" xfId="0" applyAlignment="1">
      <alignment wrapText="1"/>
    </xf>
    <xf numFmtId="0" fontId="5" fillId="8" borderId="0" xfId="0" applyFont="1" applyFill="1"/>
    <xf numFmtId="0" fontId="1" fillId="16" borderId="0" xfId="0" applyFont="1" applyFill="1"/>
    <xf numFmtId="0" fontId="0" fillId="16" borderId="0" xfId="0" applyFill="1"/>
    <xf numFmtId="0" fontId="5" fillId="8" borderId="0" xfId="0" applyFont="1" applyFill="1" applyAlignment="1">
      <alignment horizontal="center"/>
    </xf>
    <xf numFmtId="0" fontId="0" fillId="8" borderId="0" xfId="0" applyFill="1" applyAlignment="1">
      <alignment horizontal="center"/>
    </xf>
    <xf numFmtId="0" fontId="1" fillId="16" borderId="0" xfId="0" applyFont="1" applyFill="1" applyAlignment="1">
      <alignment horizontal="center"/>
    </xf>
    <xf numFmtId="0" fontId="9" fillId="0" borderId="0" xfId="0" applyFont="1"/>
    <xf numFmtId="0" fontId="9" fillId="16" borderId="0" xfId="0" applyFont="1" applyFill="1"/>
    <xf numFmtId="0" fontId="9" fillId="0" borderId="0" xfId="0" applyFont="1" applyAlignment="1">
      <alignment horizontal="center"/>
    </xf>
    <xf numFmtId="0" fontId="1" fillId="17" borderId="0" xfId="0" applyFont="1" applyFill="1"/>
    <xf numFmtId="0" fontId="1" fillId="17" borderId="0" xfId="0" applyFont="1" applyFill="1" applyAlignment="1">
      <alignment horizontal="center"/>
    </xf>
    <xf numFmtId="0" fontId="9" fillId="9" borderId="0" xfId="0" applyFont="1" applyFill="1"/>
    <xf numFmtId="0" fontId="0" fillId="18" borderId="0" xfId="0" applyFill="1"/>
    <xf numFmtId="0" fontId="5" fillId="18" borderId="0" xfId="0" applyFont="1" applyFill="1"/>
    <xf numFmtId="0" fontId="5" fillId="18" borderId="0" xfId="0" applyFont="1" applyFill="1" applyAlignment="1">
      <alignment horizontal="center"/>
    </xf>
    <xf numFmtId="0" fontId="0" fillId="18" borderId="0" xfId="0" applyFill="1" applyAlignment="1">
      <alignment horizontal="center"/>
    </xf>
    <xf numFmtId="0" fontId="1" fillId="9" borderId="0" xfId="0" applyFont="1" applyFill="1" applyAlignment="1">
      <alignment horizontal="center"/>
    </xf>
    <xf numFmtId="0" fontId="5" fillId="12" borderId="0" xfId="0" applyFont="1" applyFill="1"/>
    <xf numFmtId="0" fontId="8" fillId="5" borderId="0" xfId="0" applyFont="1" applyFill="1" applyAlignment="1">
      <alignment horizontal="center" vertical="center" wrapText="1"/>
    </xf>
    <xf numFmtId="0" fontId="8" fillId="5" borderId="0" xfId="0" applyFont="1" applyFill="1" applyAlignment="1">
      <alignment horizontal="center" vertical="center"/>
    </xf>
    <xf numFmtId="0" fontId="8" fillId="5" borderId="0" xfId="0" applyFont="1" applyFill="1" applyAlignment="1">
      <alignment vertical="center" wrapText="1"/>
    </xf>
    <xf numFmtId="0" fontId="1" fillId="19" borderId="0" xfId="0" applyFont="1" applyFill="1"/>
    <xf numFmtId="0" fontId="0" fillId="20" borderId="0" xfId="0" applyFill="1" applyAlignment="1">
      <alignment horizontal="center"/>
    </xf>
    <xf numFmtId="165" fontId="1" fillId="20" borderId="0" xfId="0" applyNumberFormat="1" applyFont="1" applyFill="1" applyAlignment="1">
      <alignment horizontal="center" vertical="center"/>
    </xf>
    <xf numFmtId="0" fontId="0" fillId="21" borderId="0" xfId="0" applyFill="1" applyAlignment="1">
      <alignment horizontal="center"/>
    </xf>
    <xf numFmtId="165" fontId="1" fillId="21" borderId="0" xfId="0" applyNumberFormat="1" applyFont="1" applyFill="1" applyAlignment="1">
      <alignment horizontal="center" vertical="center"/>
    </xf>
    <xf numFmtId="0" fontId="0" fillId="22" borderId="0" xfId="0" applyFill="1" applyAlignment="1">
      <alignment horizontal="center"/>
    </xf>
    <xf numFmtId="165" fontId="1" fillId="22" borderId="0" xfId="0" applyNumberFormat="1" applyFont="1" applyFill="1" applyAlignment="1">
      <alignment horizontal="center" vertical="center"/>
    </xf>
    <xf numFmtId="0" fontId="5" fillId="0" borderId="0" xfId="0" applyFont="1"/>
    <xf numFmtId="0" fontId="5" fillId="6" borderId="0" xfId="0" applyFont="1" applyFill="1"/>
    <xf numFmtId="0" fontId="0" fillId="6" borderId="0" xfId="0" applyFill="1"/>
    <xf numFmtId="0" fontId="0" fillId="11" borderId="0" xfId="0" applyFill="1"/>
    <xf numFmtId="0" fontId="1" fillId="21" borderId="0" xfId="0" applyFont="1" applyFill="1"/>
    <xf numFmtId="0" fontId="1" fillId="20" borderId="0" xfId="0" applyFont="1" applyFill="1"/>
    <xf numFmtId="0" fontId="1" fillId="22" borderId="0" xfId="0" applyFont="1" applyFill="1"/>
    <xf numFmtId="0" fontId="1" fillId="23" borderId="0" xfId="0" applyFont="1" applyFill="1"/>
    <xf numFmtId="0" fontId="1" fillId="23" borderId="0" xfId="0" applyFont="1" applyFill="1" applyAlignment="1">
      <alignment wrapText="1"/>
    </xf>
    <xf numFmtId="0" fontId="0" fillId="0" borderId="0" xfId="0" applyAlignment="1">
      <alignment horizontal="left"/>
    </xf>
    <xf numFmtId="0" fontId="1" fillId="0" borderId="0" xfId="0" applyFont="1" applyAlignment="1">
      <alignment horizontal="left"/>
    </xf>
    <xf numFmtId="0" fontId="0" fillId="24" borderId="0" xfId="0" applyFill="1" applyAlignment="1">
      <alignment wrapText="1"/>
    </xf>
    <xf numFmtId="0" fontId="1" fillId="24" borderId="0" xfId="0" applyFont="1" applyFill="1"/>
    <xf numFmtId="0" fontId="1" fillId="24" borderId="0" xfId="0" applyFont="1" applyFill="1" applyAlignment="1">
      <alignment wrapText="1"/>
    </xf>
    <xf numFmtId="0" fontId="5" fillId="25" borderId="0" xfId="0" applyFont="1" applyFill="1"/>
    <xf numFmtId="0" fontId="1" fillId="0" borderId="0" xfId="0" applyFont="1" applyAlignment="1">
      <alignment horizontal="center"/>
    </xf>
    <xf numFmtId="0" fontId="5" fillId="9" borderId="0" xfId="0" applyFont="1" applyFill="1" applyAlignment="1">
      <alignment horizontal="center"/>
    </xf>
    <xf numFmtId="0" fontId="6" fillId="9" borderId="0" xfId="0" applyFont="1" applyFill="1"/>
    <xf numFmtId="0" fontId="0" fillId="11" borderId="0" xfId="0" applyFill="1" applyAlignment="1">
      <alignment horizontal="center"/>
    </xf>
    <xf numFmtId="0" fontId="0" fillId="0" borderId="0" xfId="0" applyAlignment="1">
      <alignment horizontal="center" vertical="center"/>
    </xf>
    <xf numFmtId="10" fontId="0" fillId="0" borderId="0" xfId="0" applyNumberFormat="1" applyAlignment="1">
      <alignment horizontal="left"/>
    </xf>
    <xf numFmtId="9" fontId="0" fillId="0" borderId="0" xfId="0" applyNumberFormat="1" applyAlignment="1">
      <alignment horizontal="left"/>
    </xf>
    <xf numFmtId="0" fontId="0" fillId="0" borderId="0" xfId="0" applyAlignment="1">
      <alignment vertical="center"/>
    </xf>
    <xf numFmtId="0" fontId="10" fillId="23" borderId="0" xfId="0" applyFont="1" applyFill="1" applyAlignment="1">
      <alignment vertical="center"/>
    </xf>
    <xf numFmtId="0" fontId="1" fillId="9" borderId="0" xfId="0" applyFont="1" applyFill="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 fillId="26" borderId="0" xfId="0" applyFont="1" applyFill="1"/>
    <xf numFmtId="0" fontId="1" fillId="2" borderId="0" xfId="0" applyFont="1" applyFill="1" applyAlignment="1">
      <alignment horizontal="left" vertical="center"/>
    </xf>
    <xf numFmtId="4" fontId="11" fillId="0" borderId="0" xfId="2" applyNumberFormat="1"/>
    <xf numFmtId="166" fontId="11" fillId="0" borderId="0" xfId="2" applyNumberFormat="1"/>
    <xf numFmtId="9" fontId="0" fillId="0" borderId="0" xfId="0" applyNumberFormat="1"/>
    <xf numFmtId="0" fontId="11" fillId="0" borderId="0" xfId="2"/>
    <xf numFmtId="4" fontId="0" fillId="0" borderId="0" xfId="0" applyNumberFormat="1"/>
    <xf numFmtId="0" fontId="12" fillId="27" borderId="0" xfId="0" applyFont="1" applyFill="1"/>
    <xf numFmtId="0" fontId="13" fillId="27" borderId="0" xfId="0" applyFont="1" applyFill="1"/>
    <xf numFmtId="0" fontId="5" fillId="10" borderId="0" xfId="0" applyFont="1" applyFill="1"/>
    <xf numFmtId="0" fontId="7" fillId="11" borderId="0" xfId="1" applyFill="1"/>
    <xf numFmtId="0" fontId="7" fillId="11" borderId="0" xfId="1" applyFill="1" applyBorder="1"/>
    <xf numFmtId="0" fontId="7" fillId="11" borderId="1" xfId="1" applyFill="1" applyBorder="1"/>
    <xf numFmtId="0" fontId="0" fillId="11" borderId="1" xfId="0" applyFill="1" applyBorder="1"/>
    <xf numFmtId="0" fontId="7" fillId="11" borderId="2" xfId="1" applyFill="1" applyBorder="1"/>
    <xf numFmtId="0" fontId="0" fillId="11" borderId="2" xfId="0" applyFill="1" applyBorder="1"/>
    <xf numFmtId="0" fontId="1" fillId="11" borderId="0" xfId="0" applyFont="1" applyFill="1" applyAlignment="1">
      <alignment horizontal="center" vertical="center"/>
    </xf>
    <xf numFmtId="0" fontId="1" fillId="11" borderId="1" xfId="0" applyFont="1" applyFill="1" applyBorder="1" applyAlignment="1">
      <alignment horizontal="center" vertical="center"/>
    </xf>
    <xf numFmtId="0" fontId="1" fillId="11" borderId="2" xfId="0" applyFont="1" applyFill="1" applyBorder="1" applyAlignment="1">
      <alignment horizontal="center" vertical="center"/>
    </xf>
  </cellXfs>
  <cellStyles count="3">
    <cellStyle name="Hyperlink" xfId="1" builtinId="8"/>
    <cellStyle name="Normal" xfId="0" builtinId="0"/>
    <cellStyle name="Normal 2" xfId="2" xr:uid="{BBA4578F-03B9-4F69-8CE7-D2F534AA292A}"/>
  </cellStyles>
  <dxfs count="0"/>
  <tableStyles count="0" defaultTableStyle="TableStyleMedium2" defaultPivotStyle="PivotStyleLight16"/>
  <colors>
    <mruColors>
      <color rgb="FFFFFFCC"/>
      <color rgb="FFFF66CC"/>
      <color rgb="FFF5F571"/>
      <color rgb="FFEE51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IN"/>
              <a:t>CAPEX BREAKDOWN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IN"/>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682-449A-905F-3A244B312EE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682-449A-905F-3A244B312EE0}"/>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8682-449A-905F-3A244B312EE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8682-449A-905F-3A244B312EE0}"/>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8682-449A-905F-3A244B312EE0}"/>
              </c:ext>
            </c:extLst>
          </c:dPt>
          <c:dLbls>
            <c:dLbl>
              <c:idx val="0"/>
              <c:layout>
                <c:manualLayout>
                  <c:x val="-3.7024627240743846E-2"/>
                  <c:y val="0.11940865966364446"/>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682-449A-905F-3A244B312EE0}"/>
                </c:ext>
              </c:extLst>
            </c:dLbl>
            <c:dLbl>
              <c:idx val="1"/>
              <c:layout>
                <c:manualLayout>
                  <c:x val="-4.2948567599262862E-2"/>
                  <c:y val="0.11117549059151566"/>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82-449A-905F-3A244B312EE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'S16_Chart Data LCOH'!$A$2:$A$6</c:f>
              <c:strCache>
                <c:ptCount val="5"/>
                <c:pt idx="0">
                  <c:v>Well infrastructure</c:v>
                </c:pt>
                <c:pt idx="1">
                  <c:v>Surface facilities</c:v>
                </c:pt>
                <c:pt idx="2">
                  <c:v>Cushion gas system</c:v>
                </c:pt>
                <c:pt idx="3">
                  <c:v>Contigency</c:v>
                </c:pt>
                <c:pt idx="4">
                  <c:v>Electrolyser Plant</c:v>
                </c:pt>
              </c:strCache>
            </c:strRef>
          </c:cat>
          <c:val>
            <c:numRef>
              <c:f>'S16_Chart Data LCOH'!$B$2:$B$6</c:f>
              <c:numCache>
                <c:formatCode>General</c:formatCode>
                <c:ptCount val="5"/>
                <c:pt idx="0">
                  <c:v>6.1539999999999999</c:v>
                </c:pt>
                <c:pt idx="1">
                  <c:v>13.923</c:v>
                </c:pt>
                <c:pt idx="2">
                  <c:v>32.892535000000002</c:v>
                </c:pt>
                <c:pt idx="3">
                  <c:v>5.9157042000000004</c:v>
                </c:pt>
                <c:pt idx="4">
                  <c:v>223.59695133250307</c:v>
                </c:pt>
              </c:numCache>
            </c:numRef>
          </c:val>
          <c:extLst>
            <c:ext xmlns:c16="http://schemas.microsoft.com/office/drawing/2014/chart" uri="{C3380CC4-5D6E-409C-BE32-E72D297353CC}">
              <c16:uniqueId val="{0000000A-8682-449A-905F-3A244B312EE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a:t>Tornado</a:t>
            </a:r>
            <a:r>
              <a:rPr lang="en-IN" baseline="0"/>
              <a:t> Chart- Impacts of varying parameters on LCOE through Hydrogen Production</a:t>
            </a:r>
            <a:endParaRPr lang="en-IN"/>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N"/>
        </a:p>
      </c:txPr>
    </c:title>
    <c:autoTitleDeleted val="0"/>
    <c:plotArea>
      <c:layout>
        <c:manualLayout>
          <c:layoutTarget val="inner"/>
          <c:xMode val="edge"/>
          <c:yMode val="edge"/>
          <c:x val="2.670640466929778E-2"/>
          <c:y val="0.1961017023710025"/>
          <c:w val="0.94353508772894434"/>
          <c:h val="0.68145837915511953"/>
        </c:manualLayout>
      </c:layout>
      <c:barChart>
        <c:barDir val="bar"/>
        <c:grouping val="stacked"/>
        <c:varyColors val="0"/>
        <c:ser>
          <c:idx val="0"/>
          <c:order val="0"/>
          <c:tx>
            <c:strRef>
              <c:f>[1]Annex!$B$29</c:f>
              <c:strCache>
                <c:ptCount val="1"/>
                <c:pt idx="0">
                  <c:v>Low-Base</c:v>
                </c:pt>
              </c:strCache>
            </c:strRef>
          </c:tx>
          <c:spPr>
            <a:solidFill>
              <a:schemeClr val="accent2">
                <a:tint val="77000"/>
              </a:schemeClr>
            </a:solidFill>
            <a:ln>
              <a:noFill/>
            </a:ln>
            <a:effectLst/>
          </c:spPr>
          <c:invertIfNegative val="0"/>
          <c:dLbls>
            <c:delete val="1"/>
          </c:dLbls>
          <c:cat>
            <c:strRef>
              <c:f>[1]Annex!$A$30:$A$33</c:f>
              <c:strCache>
                <c:ptCount val="4"/>
                <c:pt idx="0">
                  <c:v>LCOH (NZD/kg)</c:v>
                </c:pt>
                <c:pt idx="1">
                  <c:v>H2 Efficiency (%)</c:v>
                </c:pt>
                <c:pt idx="2">
                  <c:v>Remaining Plant Life (yr)</c:v>
                </c:pt>
                <c:pt idx="3">
                  <c:v>Retrofit Cost (EUR/kWel)</c:v>
                </c:pt>
              </c:strCache>
            </c:strRef>
          </c:cat>
          <c:val>
            <c:numRef>
              <c:f>[1]Annex!$B$30:$B$33</c:f>
              <c:numCache>
                <c:formatCode>General</c:formatCode>
                <c:ptCount val="4"/>
                <c:pt idx="0">
                  <c:v>-161.53560000000004</c:v>
                </c:pt>
                <c:pt idx="1">
                  <c:v>-12.705600000000004</c:v>
                </c:pt>
                <c:pt idx="2">
                  <c:v>4.3999999999186912E-3</c:v>
                </c:pt>
                <c:pt idx="3">
                  <c:v>2.0244000000000142</c:v>
                </c:pt>
              </c:numCache>
            </c:numRef>
          </c:val>
          <c:extLst>
            <c:ext xmlns:c16="http://schemas.microsoft.com/office/drawing/2014/chart" uri="{C3380CC4-5D6E-409C-BE32-E72D297353CC}">
              <c16:uniqueId val="{00000000-D01E-45EF-89C3-556CB7914FA6}"/>
            </c:ext>
          </c:extLst>
        </c:ser>
        <c:ser>
          <c:idx val="1"/>
          <c:order val="1"/>
          <c:tx>
            <c:strRef>
              <c:f>[1]Annex!$C$29</c:f>
              <c:strCache>
                <c:ptCount val="1"/>
                <c:pt idx="0">
                  <c:v>High-Base</c:v>
                </c:pt>
              </c:strCache>
            </c:strRef>
          </c:tx>
          <c:spPr>
            <a:solidFill>
              <a:schemeClr val="accent2">
                <a:shade val="76000"/>
              </a:schemeClr>
            </a:solidFill>
            <a:ln>
              <a:noFill/>
            </a:ln>
            <a:effectLst/>
          </c:spPr>
          <c:invertIfNegative val="0"/>
          <c:dLbls>
            <c:delete val="1"/>
          </c:dLbls>
          <c:cat>
            <c:strRef>
              <c:f>[1]Annex!$A$30:$A$33</c:f>
              <c:strCache>
                <c:ptCount val="4"/>
                <c:pt idx="0">
                  <c:v>LCOH (NZD/kg)</c:v>
                </c:pt>
                <c:pt idx="1">
                  <c:v>H2 Efficiency (%)</c:v>
                </c:pt>
                <c:pt idx="2">
                  <c:v>Remaining Plant Life (yr)</c:v>
                </c:pt>
                <c:pt idx="3">
                  <c:v>Retrofit Cost (EUR/kWel)</c:v>
                </c:pt>
              </c:strCache>
            </c:strRef>
          </c:cat>
          <c:val>
            <c:numRef>
              <c:f>[1]Annex!$C$30:$C$33</c:f>
              <c:numCache>
                <c:formatCode>General</c:formatCode>
                <c:ptCount val="4"/>
                <c:pt idx="0">
                  <c:v>136.11439999999993</c:v>
                </c:pt>
                <c:pt idx="1">
                  <c:v>17.51439999999991</c:v>
                </c:pt>
                <c:pt idx="2">
                  <c:v>1.5643999999999778</c:v>
                </c:pt>
                <c:pt idx="3">
                  <c:v>-1.3455999999999904</c:v>
                </c:pt>
              </c:numCache>
            </c:numRef>
          </c:val>
          <c:extLst>
            <c:ext xmlns:c16="http://schemas.microsoft.com/office/drawing/2014/chart" uri="{C3380CC4-5D6E-409C-BE32-E72D297353CC}">
              <c16:uniqueId val="{00000001-D01E-45EF-89C3-556CB7914FA6}"/>
            </c:ext>
          </c:extLst>
        </c:ser>
        <c:dLbls>
          <c:dLblPos val="ctr"/>
          <c:showLegendKey val="0"/>
          <c:showVal val="1"/>
          <c:showCatName val="0"/>
          <c:showSerName val="0"/>
          <c:showPercent val="0"/>
          <c:showBubbleSize val="0"/>
        </c:dLbls>
        <c:gapWidth val="150"/>
        <c:overlap val="100"/>
        <c:axId val="36787727"/>
        <c:axId val="36788207"/>
      </c:barChart>
      <c:catAx>
        <c:axId val="367877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788207"/>
        <c:crosses val="autoZero"/>
        <c:auto val="0"/>
        <c:lblAlgn val="ctr"/>
        <c:lblOffset val="100"/>
        <c:noMultiLvlLbl val="0"/>
      </c:catAx>
      <c:valAx>
        <c:axId val="3678820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787727"/>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n-US"/>
        </a:p>
      </c:txPr>
    </c:title>
    <c:autoTitleDeleted val="0"/>
    <c:plotArea>
      <c:layout/>
      <c:barChart>
        <c:barDir val="col"/>
        <c:grouping val="clustered"/>
        <c:varyColors val="0"/>
        <c:ser>
          <c:idx val="0"/>
          <c:order val="0"/>
          <c:tx>
            <c:strRef>
              <c:f>[1]Annex!$B$36</c:f>
              <c:strCache>
                <c:ptCount val="1"/>
                <c:pt idx="0">
                  <c:v>Ahuroa H2 supply as % of TCC total demand</c:v>
                </c:pt>
              </c:strCache>
            </c:strRef>
          </c:tx>
          <c:spPr>
            <a:pattFill prst="ltUpDiag">
              <a:fgClr>
                <a:schemeClr val="accent1"/>
              </a:fgClr>
              <a:bgClr>
                <a:schemeClr val="lt1"/>
              </a:bgClr>
            </a:pattFill>
            <a:ln>
              <a:noFill/>
            </a:ln>
            <a:effectLst/>
          </c:spPr>
          <c:invertIfNegative val="0"/>
          <c:cat>
            <c:strRef>
              <c:f>[1]Annex!$A$37:$A$38</c:f>
              <c:strCache>
                <c:ptCount val="2"/>
                <c:pt idx="0">
                  <c:v>Base</c:v>
                </c:pt>
                <c:pt idx="1">
                  <c:v>Optimistic</c:v>
                </c:pt>
              </c:strCache>
            </c:strRef>
          </c:cat>
          <c:val>
            <c:numRef>
              <c:f>[1]Annex!$B$37:$B$38</c:f>
              <c:numCache>
                <c:formatCode>General</c:formatCode>
                <c:ptCount val="2"/>
                <c:pt idx="0">
                  <c:v>16.606669648235293</c:v>
                </c:pt>
                <c:pt idx="1">
                  <c:v>66.038822719411755</c:v>
                </c:pt>
              </c:numCache>
            </c:numRef>
          </c:val>
          <c:extLst>
            <c:ext xmlns:c16="http://schemas.microsoft.com/office/drawing/2014/chart" uri="{C3380CC4-5D6E-409C-BE32-E72D297353CC}">
              <c16:uniqueId val="{00000000-7039-4D00-9B00-BEB4E8D5EE83}"/>
            </c:ext>
          </c:extLst>
        </c:ser>
        <c:dLbls>
          <c:showLegendKey val="0"/>
          <c:showVal val="0"/>
          <c:showCatName val="0"/>
          <c:showSerName val="0"/>
          <c:showPercent val="0"/>
          <c:showBubbleSize val="0"/>
        </c:dLbls>
        <c:gapWidth val="269"/>
        <c:overlap val="-20"/>
        <c:axId val="1719046127"/>
        <c:axId val="1719036047"/>
      </c:barChart>
      <c:catAx>
        <c:axId val="1719046127"/>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none"/>
        <c:minorTickMark val="none"/>
        <c:tickLblPos val="nextTo"/>
        <c:spPr>
          <a:noFill/>
          <a:ln w="3175" cap="flat" cmpd="sng" algn="ctr">
            <a:solidFill>
              <a:schemeClr val="accent1">
                <a:lumMod val="60000"/>
                <a:lumOff val="40000"/>
              </a:schemeClr>
            </a:solidFill>
            <a:round/>
          </a:ln>
          <a:effectLst/>
        </c:spPr>
        <c:txPr>
          <a:bodyPr rot="-60000000" spcFirstLastPara="1" vertOverflow="ellipsis" vert="horz" wrap="square" anchor="ctr" anchorCtr="1"/>
          <a:lstStyle/>
          <a:p>
            <a:pPr>
              <a:defRPr sz="800" b="0" i="0" u="none" strike="noStrike" kern="1200" cap="all" spc="150" normalizeH="0" baseline="0">
                <a:solidFill>
                  <a:schemeClr val="lt1"/>
                </a:solidFill>
                <a:latin typeface="+mn-lt"/>
                <a:ea typeface="+mn-ea"/>
                <a:cs typeface="+mn-cs"/>
              </a:defRPr>
            </a:pPr>
            <a:endParaRPr lang="en-US"/>
          </a:p>
        </c:txPr>
        <c:crossAx val="1719036047"/>
        <c:crosses val="autoZero"/>
        <c:auto val="1"/>
        <c:lblAlgn val="ctr"/>
        <c:lblOffset val="100"/>
        <c:noMultiLvlLbl val="0"/>
      </c:catAx>
      <c:valAx>
        <c:axId val="171903604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n-US"/>
          </a:p>
        </c:txPr>
        <c:crossAx val="17190461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IN"/>
              <a:t>Final</a:t>
            </a:r>
            <a:r>
              <a:rPr lang="en-IN" baseline="0"/>
              <a:t> Findings</a:t>
            </a:r>
            <a:endParaRPr lang="en-IN"/>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n-IN"/>
        </a:p>
      </c:txPr>
    </c:title>
    <c:autoTitleDeleted val="0"/>
    <c:plotArea>
      <c:layout>
        <c:manualLayout>
          <c:layoutTarget val="inner"/>
          <c:xMode val="edge"/>
          <c:yMode val="edge"/>
          <c:x val="0.13858566025753535"/>
          <c:y val="4.4285877883081158E-2"/>
          <c:w val="0.7598716911381822"/>
          <c:h val="0.72244137869967229"/>
        </c:manualLayout>
      </c:layout>
      <c:barChart>
        <c:barDir val="col"/>
        <c:grouping val="clustered"/>
        <c:varyColors val="0"/>
        <c:ser>
          <c:idx val="1"/>
          <c:order val="1"/>
          <c:tx>
            <c:strRef>
              <c:f>[1]Annex!$C$41</c:f>
              <c:strCache>
                <c:ptCount val="1"/>
                <c:pt idx="0">
                  <c:v>LCOE_H2 (NZD/MWh)</c:v>
                </c:pt>
              </c:strCache>
            </c:strRef>
          </c:tx>
          <c:spPr>
            <a:solidFill>
              <a:schemeClr val="accent4"/>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[1]Annex!$A$42:$A$44</c:f>
              <c:strCache>
                <c:ptCount val="3"/>
                <c:pt idx="0">
                  <c:v>Conservative</c:v>
                </c:pt>
                <c:pt idx="1">
                  <c:v>Base </c:v>
                </c:pt>
                <c:pt idx="2">
                  <c:v>Optimistic</c:v>
                </c:pt>
              </c:strCache>
            </c:strRef>
          </c:cat>
          <c:val>
            <c:numRef>
              <c:f>[1]Annex!$C$42:$C$44</c:f>
              <c:numCache>
                <c:formatCode>General</c:formatCode>
                <c:ptCount val="3"/>
                <c:pt idx="0">
                  <c:v>719.53049999999996</c:v>
                </c:pt>
                <c:pt idx="1">
                  <c:v>583.41560000000004</c:v>
                </c:pt>
                <c:pt idx="2">
                  <c:v>421.8784</c:v>
                </c:pt>
              </c:numCache>
            </c:numRef>
          </c:val>
          <c:extLst>
            <c:ext xmlns:c16="http://schemas.microsoft.com/office/drawing/2014/chart" uri="{C3380CC4-5D6E-409C-BE32-E72D297353CC}">
              <c16:uniqueId val="{00000000-3922-4CB9-AFC6-24F8162EF1DA}"/>
            </c:ext>
          </c:extLst>
        </c:ser>
        <c:ser>
          <c:idx val="2"/>
          <c:order val="2"/>
          <c:tx>
            <c:strRef>
              <c:f>[1]Annex!$D$41</c:f>
              <c:strCache>
                <c:ptCount val="1"/>
                <c:pt idx="0">
                  <c:v>Natural gas LCOE including current NZ ETS carbon cost (NZD/MWh)</c:v>
                </c:pt>
              </c:strCache>
            </c:strRef>
          </c:tx>
          <c:spPr>
            <a:solidFill>
              <a:schemeClr val="accent6"/>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[1]Annex!$D$42:$D$44</c:f>
              <c:numCache>
                <c:formatCode>General</c:formatCode>
                <c:ptCount val="3"/>
                <c:pt idx="0">
                  <c:v>163.08000000000001</c:v>
                </c:pt>
                <c:pt idx="1">
                  <c:v>163.08000000000001</c:v>
                </c:pt>
                <c:pt idx="2">
                  <c:v>163.08000000000001</c:v>
                </c:pt>
              </c:numCache>
            </c:numRef>
          </c:val>
          <c:extLst>
            <c:ext xmlns:c16="http://schemas.microsoft.com/office/drawing/2014/chart" uri="{C3380CC4-5D6E-409C-BE32-E72D297353CC}">
              <c16:uniqueId val="{00000001-3922-4CB9-AFC6-24F8162EF1DA}"/>
            </c:ext>
          </c:extLst>
        </c:ser>
        <c:dLbls>
          <c:showLegendKey val="0"/>
          <c:showVal val="0"/>
          <c:showCatName val="0"/>
          <c:showSerName val="0"/>
          <c:showPercent val="0"/>
          <c:showBubbleSize val="0"/>
        </c:dLbls>
        <c:gapWidth val="247"/>
        <c:overlap val="-100"/>
        <c:axId val="1434452384"/>
        <c:axId val="1434452864"/>
      </c:barChart>
      <c:barChart>
        <c:barDir val="col"/>
        <c:grouping val="clustered"/>
        <c:varyColors val="0"/>
        <c:ser>
          <c:idx val="0"/>
          <c:order val="0"/>
          <c:tx>
            <c:strRef>
              <c:f>[1]Annex!$B$41</c:f>
              <c:strCache>
                <c:ptCount val="1"/>
                <c:pt idx="0">
                  <c:v>LCOH (NZD/kg)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[1]Annex!$A$42:$A$44</c:f>
              <c:strCache>
                <c:ptCount val="3"/>
                <c:pt idx="0">
                  <c:v>Conservative</c:v>
                </c:pt>
                <c:pt idx="1">
                  <c:v>Base </c:v>
                </c:pt>
                <c:pt idx="2">
                  <c:v>Optimistic</c:v>
                </c:pt>
              </c:strCache>
            </c:strRef>
          </c:cat>
          <c:val>
            <c:numRef>
              <c:f>[1]Annex!$B$42:$B$44</c:f>
              <c:numCache>
                <c:formatCode>General</c:formatCode>
                <c:ptCount val="3"/>
                <c:pt idx="0">
                  <c:v>13.27</c:v>
                </c:pt>
                <c:pt idx="1">
                  <c:v>10.7</c:v>
                </c:pt>
                <c:pt idx="2">
                  <c:v>7.65</c:v>
                </c:pt>
              </c:numCache>
            </c:numRef>
          </c:val>
          <c:extLst>
            <c:ext xmlns:c16="http://schemas.microsoft.com/office/drawing/2014/chart" uri="{C3380CC4-5D6E-409C-BE32-E72D297353CC}">
              <c16:uniqueId val="{00000002-3922-4CB9-AFC6-24F8162EF1DA}"/>
            </c:ext>
          </c:extLst>
        </c:ser>
        <c:dLbls>
          <c:showLegendKey val="0"/>
          <c:showVal val="0"/>
          <c:showCatName val="0"/>
          <c:showSerName val="0"/>
          <c:showPercent val="0"/>
          <c:showBubbleSize val="0"/>
        </c:dLbls>
        <c:gapWidth val="247"/>
        <c:overlap val="-27"/>
        <c:axId val="1948103248"/>
        <c:axId val="1948113808"/>
      </c:barChart>
      <c:catAx>
        <c:axId val="143445238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1434452864"/>
        <c:crosses val="autoZero"/>
        <c:auto val="1"/>
        <c:lblAlgn val="ctr"/>
        <c:lblOffset val="100"/>
        <c:noMultiLvlLbl val="0"/>
      </c:catAx>
      <c:valAx>
        <c:axId val="143445286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IN"/>
                  <a:t>NZD/MWh</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434452384"/>
        <c:crosses val="autoZero"/>
        <c:crossBetween val="between"/>
      </c:valAx>
      <c:valAx>
        <c:axId val="1948113808"/>
        <c:scaling>
          <c:orientation val="minMax"/>
        </c:scaling>
        <c:delete val="0"/>
        <c:axPos val="r"/>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n-IN"/>
                  <a:t>NZD/kg</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948103248"/>
        <c:crosses val="max"/>
        <c:crossBetween val="between"/>
      </c:valAx>
      <c:catAx>
        <c:axId val="1948103248"/>
        <c:scaling>
          <c:orientation val="minMax"/>
        </c:scaling>
        <c:delete val="1"/>
        <c:axPos val="b"/>
        <c:numFmt formatCode="General" sourceLinked="1"/>
        <c:majorTickMark val="out"/>
        <c:minorTickMark val="none"/>
        <c:tickLblPos val="nextTo"/>
        <c:crossAx val="1948113808"/>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IN"/>
              <a:t>OPEX</a:t>
            </a:r>
            <a:r>
              <a:rPr lang="en-IN" baseline="0"/>
              <a:t> Breakdown </a:t>
            </a:r>
            <a:endParaRPr lang="en-IN"/>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IN"/>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754-4246-9F7D-84ADB810C31D}"/>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754-4246-9F7D-84ADB810C31D}"/>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754-4246-9F7D-84ADB810C31D}"/>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754-4246-9F7D-84ADB810C31D}"/>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754-4246-9F7D-84ADB810C31D}"/>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A754-4246-9F7D-84ADB810C31D}"/>
              </c:ext>
            </c:extLst>
          </c:dPt>
          <c:dLbls>
            <c:dLbl>
              <c:idx val="0"/>
              <c:layout>
                <c:manualLayout>
                  <c:x val="-3.253273437103163E-2"/>
                  <c:y val="0.24166607745460389"/>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54-4246-9F7D-84ADB810C31D}"/>
                </c:ext>
              </c:extLst>
            </c:dLbl>
            <c:dLbl>
              <c:idx val="1"/>
              <c:layout>
                <c:manualLayout>
                  <c:x val="-3.1603252549409537E-2"/>
                  <c:y val="0.1126047525309336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754-4246-9F7D-84ADB810C31D}"/>
                </c:ext>
              </c:extLst>
            </c:dLbl>
            <c:dLbl>
              <c:idx val="3"/>
              <c:layout>
                <c:manualLayout>
                  <c:x val="-5.7793398745778775E-2"/>
                  <c:y val="0.1356609352402378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754-4246-9F7D-84ADB810C31D}"/>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'S16_Chart Data LCOH'!$A$10:$A$15</c:f>
              <c:strCache>
                <c:ptCount val="6"/>
                <c:pt idx="0">
                  <c:v>Production Costs</c:v>
                </c:pt>
                <c:pt idx="1">
                  <c:v>UHS facility Operation</c:v>
                </c:pt>
                <c:pt idx="2">
                  <c:v>Equipment depreciation</c:v>
                </c:pt>
                <c:pt idx="3">
                  <c:v>Indirect Expenses</c:v>
                </c:pt>
                <c:pt idx="4">
                  <c:v>Annual Maintanance Cost</c:v>
                </c:pt>
                <c:pt idx="5">
                  <c:v>Annual Electricity Cost</c:v>
                </c:pt>
              </c:strCache>
            </c:strRef>
          </c:cat>
          <c:val>
            <c:numRef>
              <c:f>'S16_Chart Data LCOH'!$B$10:$B$15</c:f>
              <c:numCache>
                <c:formatCode>General</c:formatCode>
                <c:ptCount val="6"/>
                <c:pt idx="0">
                  <c:v>2.2593000000000001</c:v>
                </c:pt>
                <c:pt idx="1">
                  <c:v>4.0570000000000004</c:v>
                </c:pt>
                <c:pt idx="2">
                  <c:v>0.95200000000000007</c:v>
                </c:pt>
                <c:pt idx="3">
                  <c:v>6.0519999999999996</c:v>
                </c:pt>
                <c:pt idx="4">
                  <c:v>6.707908539975092</c:v>
                </c:pt>
                <c:pt idx="5">
                  <c:v>53.34175636363635</c:v>
                </c:pt>
              </c:numCache>
            </c:numRef>
          </c:val>
          <c:extLst>
            <c:ext xmlns:c16="http://schemas.microsoft.com/office/drawing/2014/chart" uri="{C3380CC4-5D6E-409C-BE32-E72D297353CC}">
              <c16:uniqueId val="{0000000C-A754-4246-9F7D-84ADB810C31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4.0715223097112861E-2"/>
          <c:y val="0.23707531350247885"/>
          <c:w val="0.91606255468066489"/>
          <c:h val="0.6153546952464275"/>
        </c:manualLayout>
      </c:layout>
      <c:barChart>
        <c:barDir val="bar"/>
        <c:grouping val="stacked"/>
        <c:varyColors val="0"/>
        <c:ser>
          <c:idx val="0"/>
          <c:order val="0"/>
          <c:tx>
            <c:strRef>
              <c:f>'S16_Chart Data LCOH'!$B$19</c:f>
              <c:strCache>
                <c:ptCount val="1"/>
                <c:pt idx="0">
                  <c:v>Low impact (Low-Base)</c:v>
                </c:pt>
              </c:strCache>
            </c:strRef>
          </c:tx>
          <c:spPr>
            <a:solidFill>
              <a:schemeClr val="accent2">
                <a:tint val="77000"/>
                <a:alpha val="70000"/>
              </a:schemeClr>
            </a:solidFill>
            <a:ln>
              <a:noFill/>
            </a:ln>
            <a:effectLst/>
          </c:spPr>
          <c:invertIfNegative val="0"/>
          <c:cat>
            <c:strRef>
              <c:f>'S16_Chart Data LCOH'!$A$20:$A$25</c:f>
              <c:strCache>
                <c:ptCount val="6"/>
                <c:pt idx="0">
                  <c:v>Electricity price</c:v>
                </c:pt>
                <c:pt idx="1">
                  <c:v>Capacity factor</c:v>
                </c:pt>
                <c:pt idx="2">
                  <c:v>Electrolyser Efficiency</c:v>
                </c:pt>
                <c:pt idx="3">
                  <c:v>Discount rate</c:v>
                </c:pt>
                <c:pt idx="4">
                  <c:v>H_2 Loss rate</c:v>
                </c:pt>
                <c:pt idx="5">
                  <c:v>Eletrolyser CAPEX</c:v>
                </c:pt>
              </c:strCache>
            </c:strRef>
          </c:cat>
          <c:val>
            <c:numRef>
              <c:f>'S16_Chart Data LCOH'!$B$20:$B$25</c:f>
              <c:numCache>
                <c:formatCode>General</c:formatCode>
                <c:ptCount val="6"/>
                <c:pt idx="0">
                  <c:v>-4.8199999999999994</c:v>
                </c:pt>
                <c:pt idx="1">
                  <c:v>-3.09</c:v>
                </c:pt>
                <c:pt idx="2">
                  <c:v>-3.88</c:v>
                </c:pt>
                <c:pt idx="3">
                  <c:v>-3.5799999999999992</c:v>
                </c:pt>
                <c:pt idx="4">
                  <c:v>-3.09</c:v>
                </c:pt>
                <c:pt idx="5">
                  <c:v>-3.05</c:v>
                </c:pt>
              </c:numCache>
            </c:numRef>
          </c:val>
          <c:extLst>
            <c:ext xmlns:c16="http://schemas.microsoft.com/office/drawing/2014/chart" uri="{C3380CC4-5D6E-409C-BE32-E72D297353CC}">
              <c16:uniqueId val="{00000000-155C-47D9-90CB-C34384CF7C05}"/>
            </c:ext>
          </c:extLst>
        </c:ser>
        <c:ser>
          <c:idx val="1"/>
          <c:order val="1"/>
          <c:tx>
            <c:strRef>
              <c:f>'S16_Chart Data LCOH'!$C$19</c:f>
              <c:strCache>
                <c:ptCount val="1"/>
                <c:pt idx="0">
                  <c:v>High Impact (High-Base)</c:v>
                </c:pt>
              </c:strCache>
            </c:strRef>
          </c:tx>
          <c:spPr>
            <a:solidFill>
              <a:schemeClr val="accent2">
                <a:shade val="76000"/>
                <a:alpha val="70000"/>
              </a:schemeClr>
            </a:solidFill>
            <a:ln>
              <a:noFill/>
            </a:ln>
            <a:effectLst/>
          </c:spPr>
          <c:invertIfNegative val="0"/>
          <c:cat>
            <c:strRef>
              <c:f>'S16_Chart Data LCOH'!$A$20:$A$25</c:f>
              <c:strCache>
                <c:ptCount val="6"/>
                <c:pt idx="0">
                  <c:v>Electricity price</c:v>
                </c:pt>
                <c:pt idx="1">
                  <c:v>Capacity factor</c:v>
                </c:pt>
                <c:pt idx="2">
                  <c:v>Electrolyser Efficiency</c:v>
                </c:pt>
                <c:pt idx="3">
                  <c:v>Discount rate</c:v>
                </c:pt>
                <c:pt idx="4">
                  <c:v>H_2 Loss rate</c:v>
                </c:pt>
                <c:pt idx="5">
                  <c:v>Eletrolyser CAPEX</c:v>
                </c:pt>
              </c:strCache>
            </c:strRef>
          </c:cat>
          <c:val>
            <c:numRef>
              <c:f>'S16_Chart Data LCOH'!$C$20:$C$25</c:f>
              <c:numCache>
                <c:formatCode>General</c:formatCode>
                <c:ptCount val="6"/>
                <c:pt idx="0">
                  <c:v>13.81</c:v>
                </c:pt>
                <c:pt idx="1">
                  <c:v>6.6899999999999995</c:v>
                </c:pt>
                <c:pt idx="2">
                  <c:v>0.84999999999999964</c:v>
                </c:pt>
                <c:pt idx="3">
                  <c:v>3.25</c:v>
                </c:pt>
                <c:pt idx="4">
                  <c:v>0</c:v>
                </c:pt>
                <c:pt idx="5">
                  <c:v>0</c:v>
                </c:pt>
              </c:numCache>
            </c:numRef>
          </c:val>
          <c:extLst>
            <c:ext xmlns:c16="http://schemas.microsoft.com/office/drawing/2014/chart" uri="{C3380CC4-5D6E-409C-BE32-E72D297353CC}">
              <c16:uniqueId val="{00000001-155C-47D9-90CB-C34384CF7C05}"/>
            </c:ext>
          </c:extLst>
        </c:ser>
        <c:dLbls>
          <c:showLegendKey val="0"/>
          <c:showVal val="0"/>
          <c:showCatName val="0"/>
          <c:showSerName val="0"/>
          <c:showPercent val="0"/>
          <c:showBubbleSize val="0"/>
        </c:dLbls>
        <c:gapWidth val="50"/>
        <c:overlap val="100"/>
        <c:axId val="1151697152"/>
        <c:axId val="1151713952"/>
      </c:barChart>
      <c:catAx>
        <c:axId val="1151697152"/>
        <c:scaling>
          <c:orientation val="maxMin"/>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1713952"/>
        <c:crossesAt val="0"/>
        <c:auto val="1"/>
        <c:lblAlgn val="ctr"/>
        <c:lblOffset val="100"/>
        <c:noMultiLvlLbl val="0"/>
      </c:catAx>
      <c:valAx>
        <c:axId val="1151713952"/>
        <c:scaling>
          <c:orientation val="minMax"/>
        </c:scaling>
        <c:delete val="0"/>
        <c:axPos val="t"/>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1697152"/>
        <c:crossesAt val="0"/>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IN"/>
              <a:t>LCOH</a:t>
            </a:r>
            <a:r>
              <a:rPr lang="en-IN" baseline="0"/>
              <a:t> vs Wholesale electricity price</a:t>
            </a:r>
            <a:endParaRPr lang="en-IN"/>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IN"/>
        </a:p>
      </c:txPr>
    </c:title>
    <c:autoTitleDeleted val="0"/>
    <c:plotArea>
      <c:layout/>
      <c:scatterChart>
        <c:scatterStyle val="lineMarker"/>
        <c:varyColors val="0"/>
        <c:ser>
          <c:idx val="0"/>
          <c:order val="0"/>
          <c:tx>
            <c:v>LCOH Conservative</c:v>
          </c:tx>
          <c:spPr>
            <a:ln w="9525" cap="rnd">
              <a:solidFill>
                <a:schemeClr val="accent1"/>
              </a:solidFill>
              <a:round/>
            </a:ln>
            <a:effectLst/>
          </c:spPr>
          <c:marker>
            <c:symbol val="none"/>
          </c:marker>
          <c:xVal>
            <c:numRef>
              <c:f>'S16_Chart Data LCOH'!$A$29:$A$32</c:f>
              <c:numCache>
                <c:formatCode>General</c:formatCode>
                <c:ptCount val="4"/>
                <c:pt idx="0">
                  <c:v>70</c:v>
                </c:pt>
                <c:pt idx="1">
                  <c:v>100</c:v>
                </c:pt>
                <c:pt idx="2">
                  <c:v>150</c:v>
                </c:pt>
                <c:pt idx="3">
                  <c:v>250</c:v>
                </c:pt>
              </c:numCache>
            </c:numRef>
          </c:xVal>
          <c:yVal>
            <c:numRef>
              <c:f>'S16_Chart Data LCOH'!$B$29:$B$32</c:f>
              <c:numCache>
                <c:formatCode>General</c:formatCode>
                <c:ptCount val="4"/>
                <c:pt idx="0">
                  <c:v>11.02</c:v>
                </c:pt>
                <c:pt idx="1">
                  <c:v>13.27</c:v>
                </c:pt>
                <c:pt idx="2">
                  <c:v>17.010000000000002</c:v>
                </c:pt>
                <c:pt idx="3">
                  <c:v>24.5</c:v>
                </c:pt>
              </c:numCache>
            </c:numRef>
          </c:yVal>
          <c:smooth val="0"/>
          <c:extLst>
            <c:ext xmlns:c16="http://schemas.microsoft.com/office/drawing/2014/chart" uri="{C3380CC4-5D6E-409C-BE32-E72D297353CC}">
              <c16:uniqueId val="{00000000-19E5-4AEC-BD55-106DA73D0713}"/>
            </c:ext>
          </c:extLst>
        </c:ser>
        <c:ser>
          <c:idx val="1"/>
          <c:order val="1"/>
          <c:tx>
            <c:strRef>
              <c:f>'S16_Chart Data LCOH'!$C$28</c:f>
              <c:strCache>
                <c:ptCount val="1"/>
                <c:pt idx="0">
                  <c:v>LCOH Base(S+P)</c:v>
                </c:pt>
              </c:strCache>
            </c:strRef>
          </c:tx>
          <c:spPr>
            <a:ln w="9525" cap="rnd">
              <a:solidFill>
                <a:schemeClr val="accent2"/>
              </a:solidFill>
              <a:round/>
            </a:ln>
            <a:effectLst/>
          </c:spPr>
          <c:marker>
            <c:symbol val="none"/>
          </c:marker>
          <c:xVal>
            <c:numRef>
              <c:f>'S16_Chart Data LCOH'!$A$29:$A$32</c:f>
              <c:numCache>
                <c:formatCode>General</c:formatCode>
                <c:ptCount val="4"/>
                <c:pt idx="0">
                  <c:v>70</c:v>
                </c:pt>
                <c:pt idx="1">
                  <c:v>100</c:v>
                </c:pt>
                <c:pt idx="2">
                  <c:v>150</c:v>
                </c:pt>
                <c:pt idx="3">
                  <c:v>250</c:v>
                </c:pt>
              </c:numCache>
            </c:numRef>
          </c:xVal>
          <c:yVal>
            <c:numRef>
              <c:f>'S16_Chart Data LCOH'!$C$29:$C$32</c:f>
              <c:numCache>
                <c:formatCode>General</c:formatCode>
                <c:ptCount val="4"/>
                <c:pt idx="0">
                  <c:v>8.92</c:v>
                </c:pt>
                <c:pt idx="1">
                  <c:v>10.69</c:v>
                </c:pt>
                <c:pt idx="2">
                  <c:v>13.65</c:v>
                </c:pt>
                <c:pt idx="3">
                  <c:v>19.5</c:v>
                </c:pt>
              </c:numCache>
            </c:numRef>
          </c:yVal>
          <c:smooth val="0"/>
          <c:extLst>
            <c:ext xmlns:c16="http://schemas.microsoft.com/office/drawing/2014/chart" uri="{C3380CC4-5D6E-409C-BE32-E72D297353CC}">
              <c16:uniqueId val="{00000001-19E5-4AEC-BD55-106DA73D0713}"/>
            </c:ext>
          </c:extLst>
        </c:ser>
        <c:ser>
          <c:idx val="2"/>
          <c:order val="2"/>
          <c:tx>
            <c:strRef>
              <c:f>'S16_Chart Data LCOH'!$D$28</c:f>
              <c:strCache>
                <c:ptCount val="1"/>
                <c:pt idx="0">
                  <c:v>LCOH Optimistic (S+P)</c:v>
                </c:pt>
              </c:strCache>
            </c:strRef>
          </c:tx>
          <c:spPr>
            <a:ln w="9525" cap="rnd">
              <a:solidFill>
                <a:schemeClr val="accent3"/>
              </a:solidFill>
              <a:round/>
            </a:ln>
            <a:effectLst/>
          </c:spPr>
          <c:marker>
            <c:symbol val="none"/>
          </c:marker>
          <c:xVal>
            <c:numRef>
              <c:f>'S16_Chart Data LCOH'!$A$29:$A$32</c:f>
              <c:numCache>
                <c:formatCode>General</c:formatCode>
                <c:ptCount val="4"/>
                <c:pt idx="0">
                  <c:v>70</c:v>
                </c:pt>
                <c:pt idx="1">
                  <c:v>100</c:v>
                </c:pt>
                <c:pt idx="2">
                  <c:v>150</c:v>
                </c:pt>
                <c:pt idx="3">
                  <c:v>250</c:v>
                </c:pt>
              </c:numCache>
            </c:numRef>
          </c:xVal>
          <c:yVal>
            <c:numRef>
              <c:f>'S16_Chart Data LCOH'!$D$29:$D$32</c:f>
              <c:numCache>
                <c:formatCode>General</c:formatCode>
                <c:ptCount val="4"/>
                <c:pt idx="0">
                  <c:v>5.87</c:v>
                </c:pt>
                <c:pt idx="1">
                  <c:v>7.64</c:v>
                </c:pt>
                <c:pt idx="2">
                  <c:v>10.6</c:v>
                </c:pt>
                <c:pt idx="3">
                  <c:v>16.5</c:v>
                </c:pt>
              </c:numCache>
            </c:numRef>
          </c:yVal>
          <c:smooth val="0"/>
          <c:extLst>
            <c:ext xmlns:c16="http://schemas.microsoft.com/office/drawing/2014/chart" uri="{C3380CC4-5D6E-409C-BE32-E72D297353CC}">
              <c16:uniqueId val="{00000002-19E5-4AEC-BD55-106DA73D0713}"/>
            </c:ext>
          </c:extLst>
        </c:ser>
        <c:dLbls>
          <c:showLegendKey val="0"/>
          <c:showVal val="0"/>
          <c:showCatName val="0"/>
          <c:showSerName val="0"/>
          <c:showPercent val="0"/>
          <c:showBubbleSize val="0"/>
        </c:dLbls>
        <c:axId val="1297676576"/>
        <c:axId val="1297686176"/>
      </c:scatterChart>
      <c:valAx>
        <c:axId val="1297676576"/>
        <c:scaling>
          <c:orientation val="minMax"/>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IN"/>
                  <a:t>Wholesale</a:t>
                </a:r>
                <a:r>
                  <a:rPr lang="en-IN" baseline="0"/>
                  <a:t> Electricity Price in NZD/MWh</a:t>
                </a:r>
                <a:endParaRPr lang="en-IN"/>
              </a:p>
            </c:rich>
          </c:tx>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IN"/>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297686176"/>
        <c:crosses val="autoZero"/>
        <c:crossBetween val="midCat"/>
      </c:valAx>
      <c:valAx>
        <c:axId val="129768617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IN"/>
                  <a:t>LCOH</a:t>
                </a:r>
                <a:r>
                  <a:rPr lang="en-IN" baseline="0"/>
                  <a:t> Value in NZD/kg</a:t>
                </a:r>
                <a:endParaRPr lang="en-IN"/>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IN"/>
            </a:p>
          </c:txPr>
        </c:title>
        <c:numFmt formatCode="General"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2976765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a:t>LCOH</a:t>
            </a:r>
            <a:r>
              <a:rPr lang="en-IN" baseline="0"/>
              <a:t> values in different scenarios</a:t>
            </a:r>
            <a:endParaRPr lang="en-IN"/>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N"/>
        </a:p>
      </c:txPr>
    </c:title>
    <c:autoTitleDeleted val="0"/>
    <c:plotArea>
      <c:layout/>
      <c:barChart>
        <c:barDir val="col"/>
        <c:grouping val="clustered"/>
        <c:varyColors val="0"/>
        <c:ser>
          <c:idx val="0"/>
          <c:order val="0"/>
          <c:tx>
            <c:strRef>
              <c:f>'S16_Chart Data LCOH'!$A$37</c:f>
              <c:strCache>
                <c:ptCount val="1"/>
                <c:pt idx="0">
                  <c:v>LCOH (Storage+production)</c:v>
                </c:pt>
              </c:strCache>
            </c:strRef>
          </c:tx>
          <c:spPr>
            <a:solidFill>
              <a:schemeClr val="accent5">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'S16_Chart Data LCOH'!$B$36:$D$36</c:f>
              <c:strCache>
                <c:ptCount val="3"/>
                <c:pt idx="0">
                  <c:v>Conservative</c:v>
                </c:pt>
                <c:pt idx="1">
                  <c:v>Base</c:v>
                </c:pt>
                <c:pt idx="2">
                  <c:v>Optimistic</c:v>
                </c:pt>
              </c:strCache>
            </c:strRef>
          </c:cat>
          <c:val>
            <c:numRef>
              <c:f>'S16_Chart Data LCOH'!$B$37:$D$37</c:f>
              <c:numCache>
                <c:formatCode>General</c:formatCode>
                <c:ptCount val="3"/>
                <c:pt idx="0">
                  <c:v>13.27</c:v>
                </c:pt>
                <c:pt idx="1">
                  <c:v>10.699518164924111</c:v>
                </c:pt>
                <c:pt idx="2">
                  <c:v>7.6465010714820556</c:v>
                </c:pt>
              </c:numCache>
            </c:numRef>
          </c:val>
          <c:extLst>
            <c:ext xmlns:c16="http://schemas.microsoft.com/office/drawing/2014/chart" uri="{C3380CC4-5D6E-409C-BE32-E72D297353CC}">
              <c16:uniqueId val="{00000000-3FC1-47B2-ACC9-AAC59FCDE390}"/>
            </c:ext>
          </c:extLst>
        </c:ser>
        <c:ser>
          <c:idx val="1"/>
          <c:order val="1"/>
          <c:tx>
            <c:strRef>
              <c:f>'S16_Chart Data LCOH'!$A$38</c:f>
              <c:strCache>
                <c:ptCount val="1"/>
                <c:pt idx="0">
                  <c:v>LCOH (Storage only)</c:v>
                </c:pt>
              </c:strCache>
            </c:strRef>
          </c:tx>
          <c:spPr>
            <a:solidFill>
              <a:schemeClr val="accent5">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'S16_Chart Data LCOH'!$B$36:$D$36</c:f>
              <c:strCache>
                <c:ptCount val="3"/>
                <c:pt idx="0">
                  <c:v>Conservative</c:v>
                </c:pt>
                <c:pt idx="1">
                  <c:v>Base</c:v>
                </c:pt>
                <c:pt idx="2">
                  <c:v>Optimistic</c:v>
                </c:pt>
              </c:strCache>
            </c:strRef>
          </c:cat>
          <c:val>
            <c:numRef>
              <c:f>'S16_Chart Data LCOH'!$B$38:$D$38</c:f>
              <c:numCache>
                <c:formatCode>General</c:formatCode>
                <c:ptCount val="3"/>
                <c:pt idx="0">
                  <c:v>2.4300000000000002</c:v>
                </c:pt>
                <c:pt idx="1">
                  <c:v>2.2162542245433499</c:v>
                </c:pt>
                <c:pt idx="2">
                  <c:v>0.73022405305210947</c:v>
                </c:pt>
              </c:numCache>
            </c:numRef>
          </c:val>
          <c:extLst>
            <c:ext xmlns:c16="http://schemas.microsoft.com/office/drawing/2014/chart" uri="{C3380CC4-5D6E-409C-BE32-E72D297353CC}">
              <c16:uniqueId val="{00000001-3FC1-47B2-ACC9-AAC59FCDE390}"/>
            </c:ext>
          </c:extLst>
        </c:ser>
        <c:dLbls>
          <c:dLblPos val="outEnd"/>
          <c:showLegendKey val="0"/>
          <c:showVal val="1"/>
          <c:showCatName val="0"/>
          <c:showSerName val="0"/>
          <c:showPercent val="0"/>
          <c:showBubbleSize val="0"/>
        </c:dLbls>
        <c:gapWidth val="219"/>
        <c:overlap val="-27"/>
        <c:axId val="1297732256"/>
        <c:axId val="1297733696"/>
      </c:barChart>
      <c:catAx>
        <c:axId val="12977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7733696"/>
        <c:crosses val="autoZero"/>
        <c:auto val="1"/>
        <c:lblAlgn val="ctr"/>
        <c:lblOffset val="100"/>
        <c:noMultiLvlLbl val="0"/>
      </c:catAx>
      <c:valAx>
        <c:axId val="129773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N"/>
                  <a:t>LCOH</a:t>
                </a:r>
                <a:r>
                  <a:rPr lang="en-IN" baseline="0"/>
                  <a:t> in NZD/kg H_2</a:t>
                </a:r>
                <a:endParaRPr lang="en-IN"/>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N"/>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7732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IN"/>
              <a:t>Comparing</a:t>
            </a:r>
            <a:r>
              <a:rPr lang="en-IN" baseline="0"/>
              <a:t> Calculated LCOH values to Theoretical Values and Scenarios (Storage only cost calculations)</a:t>
            </a:r>
            <a:endParaRPr lang="en-IN"/>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IN"/>
        </a:p>
      </c:txPr>
    </c:title>
    <c:autoTitleDeleted val="0"/>
    <c:plotArea>
      <c:layout/>
      <c:areaChart>
        <c:grouping val="standard"/>
        <c:varyColors val="0"/>
        <c:ser>
          <c:idx val="2"/>
          <c:order val="2"/>
          <c:tx>
            <c:strRef>
              <c:f>'S16_Chart Data LCOH'!$E$45</c:f>
              <c:strCache>
                <c:ptCount val="1"/>
                <c:pt idx="0">
                  <c:v>Yousefi et al. (2023) sensitivity range</c:v>
                </c:pt>
              </c:strCache>
            </c:strRef>
          </c:tx>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thickThin" algn="ctr">
              <a:solidFill>
                <a:schemeClr val="accent1">
                  <a:alpha val="0"/>
                </a:schemeClr>
              </a:solidFill>
              <a:prstDash val="lgDash"/>
              <a:round/>
            </a:ln>
            <a:effectLst>
              <a:outerShdw blurRad="50800" dist="50800" dir="5400000" algn="ctr" rotWithShape="0">
                <a:srgbClr val="000000"/>
              </a:outerShdw>
            </a:effectLst>
          </c:spPr>
          <c:cat>
            <c:strRef>
              <c:f>'S16_Chart Data LCOH'!$A$46:$A$48</c:f>
              <c:strCache>
                <c:ptCount val="3"/>
                <c:pt idx="0">
                  <c:v>Conservative</c:v>
                </c:pt>
                <c:pt idx="1">
                  <c:v>Base</c:v>
                </c:pt>
                <c:pt idx="2">
                  <c:v>Optimistic</c:v>
                </c:pt>
              </c:strCache>
            </c:strRef>
          </c:cat>
          <c:val>
            <c:numRef>
              <c:f>'S16_Chart Data LCOH'!$E$46:$E$48</c:f>
              <c:numCache>
                <c:formatCode>General</c:formatCode>
                <c:ptCount val="3"/>
                <c:pt idx="0">
                  <c:v>1.07</c:v>
                </c:pt>
                <c:pt idx="1">
                  <c:v>1.51</c:v>
                </c:pt>
                <c:pt idx="2">
                  <c:v>1.92</c:v>
                </c:pt>
              </c:numCache>
            </c:numRef>
          </c:val>
          <c:extLst>
            <c:ext xmlns:c16="http://schemas.microsoft.com/office/drawing/2014/chart" uri="{C3380CC4-5D6E-409C-BE32-E72D297353CC}">
              <c16:uniqueId val="{00000000-4B59-4DCF-9CC4-FAC59F0EF225}"/>
            </c:ext>
          </c:extLst>
        </c:ser>
        <c:dLbls>
          <c:showLegendKey val="0"/>
          <c:showVal val="0"/>
          <c:showCatName val="0"/>
          <c:showSerName val="0"/>
          <c:showPercent val="0"/>
          <c:showBubbleSize val="0"/>
        </c:dLbls>
        <c:axId val="435258928"/>
        <c:axId val="435259408"/>
      </c:areaChart>
      <c:barChart>
        <c:barDir val="col"/>
        <c:grouping val="clustered"/>
        <c:varyColors val="0"/>
        <c:ser>
          <c:idx val="0"/>
          <c:order val="0"/>
          <c:tx>
            <c:v>Calculated Values</c:v>
          </c:tx>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invertIfNegative val="0"/>
          <c:cat>
            <c:strRef>
              <c:f>'S16_Chart Data LCOH'!$A$46:$A$48</c:f>
              <c:strCache>
                <c:ptCount val="3"/>
                <c:pt idx="0">
                  <c:v>Conservative</c:v>
                </c:pt>
                <c:pt idx="1">
                  <c:v>Base</c:v>
                </c:pt>
                <c:pt idx="2">
                  <c:v>Optimistic</c:v>
                </c:pt>
              </c:strCache>
            </c:strRef>
          </c:cat>
          <c:val>
            <c:numRef>
              <c:f>'S16_Chart Data LCOH'!$B$46:$B$48</c:f>
              <c:numCache>
                <c:formatCode>General</c:formatCode>
                <c:ptCount val="3"/>
                <c:pt idx="0">
                  <c:v>2.4300000000000002</c:v>
                </c:pt>
                <c:pt idx="1">
                  <c:v>2.21</c:v>
                </c:pt>
                <c:pt idx="2">
                  <c:v>0.73</c:v>
                </c:pt>
              </c:numCache>
            </c:numRef>
          </c:val>
          <c:extLst>
            <c:ext xmlns:c16="http://schemas.microsoft.com/office/drawing/2014/chart" uri="{C3380CC4-5D6E-409C-BE32-E72D297353CC}">
              <c16:uniqueId val="{00000001-4B59-4DCF-9CC4-FAC59F0EF225}"/>
            </c:ext>
          </c:extLst>
        </c:ser>
        <c:dLbls>
          <c:showLegendKey val="0"/>
          <c:showVal val="0"/>
          <c:showCatName val="0"/>
          <c:showSerName val="0"/>
          <c:showPercent val="0"/>
          <c:showBubbleSize val="0"/>
        </c:dLbls>
        <c:gapWidth val="219"/>
        <c:axId val="435258928"/>
        <c:axId val="435259408"/>
      </c:barChart>
      <c:lineChart>
        <c:grouping val="standard"/>
        <c:varyColors val="0"/>
        <c:ser>
          <c:idx val="1"/>
          <c:order val="1"/>
          <c:tx>
            <c:strRef>
              <c:f>'S16_Chart Data LCOH'!$C$45</c:f>
              <c:strCache>
                <c:ptCount val="1"/>
                <c:pt idx="0">
                  <c:v>Lord et al.(2014) inflation adjusted to 2025</c:v>
                </c:pt>
              </c:strCache>
            </c:strRef>
          </c:tx>
          <c:spPr>
            <a:ln w="15875" cap="rnd">
              <a:solidFill>
                <a:schemeClr val="accent5"/>
              </a:solidFill>
              <a:round/>
            </a:ln>
            <a:effectLst/>
          </c:spPr>
          <c:marker>
            <c:symbol val="none"/>
          </c:marker>
          <c:cat>
            <c:strRef>
              <c:f>'S16_Chart Data LCOH'!$A$46:$A$48</c:f>
              <c:strCache>
                <c:ptCount val="3"/>
                <c:pt idx="0">
                  <c:v>Conservative</c:v>
                </c:pt>
                <c:pt idx="1">
                  <c:v>Base</c:v>
                </c:pt>
                <c:pt idx="2">
                  <c:v>Optimistic</c:v>
                </c:pt>
              </c:strCache>
            </c:strRef>
          </c:cat>
          <c:val>
            <c:numRef>
              <c:f>'S16_Chart Data LCOH'!$C$46:$C$48</c:f>
              <c:numCache>
                <c:formatCode>General</c:formatCode>
                <c:ptCount val="3"/>
                <c:pt idx="0">
                  <c:v>3.56</c:v>
                </c:pt>
                <c:pt idx="1">
                  <c:v>3.56</c:v>
                </c:pt>
                <c:pt idx="2">
                  <c:v>3.56</c:v>
                </c:pt>
              </c:numCache>
            </c:numRef>
          </c:val>
          <c:smooth val="0"/>
          <c:extLst>
            <c:ext xmlns:c16="http://schemas.microsoft.com/office/drawing/2014/chart" uri="{C3380CC4-5D6E-409C-BE32-E72D297353CC}">
              <c16:uniqueId val="{00000002-4B59-4DCF-9CC4-FAC59F0EF225}"/>
            </c:ext>
          </c:extLst>
        </c:ser>
        <c:dLbls>
          <c:showLegendKey val="0"/>
          <c:showVal val="0"/>
          <c:showCatName val="0"/>
          <c:showSerName val="0"/>
          <c:showPercent val="0"/>
          <c:showBubbleSize val="0"/>
        </c:dLbls>
        <c:marker val="1"/>
        <c:smooth val="0"/>
        <c:axId val="435258928"/>
        <c:axId val="435259408"/>
      </c:lineChart>
      <c:catAx>
        <c:axId val="43525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435259408"/>
        <c:crosses val="autoZero"/>
        <c:auto val="1"/>
        <c:lblAlgn val="ctr"/>
        <c:lblOffset val="100"/>
        <c:noMultiLvlLbl val="0"/>
      </c:catAx>
      <c:valAx>
        <c:axId val="435259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r>
                  <a:rPr lang="en-IN"/>
                  <a:t>LCOH</a:t>
                </a:r>
                <a:r>
                  <a:rPr lang="en-IN" baseline="0"/>
                  <a:t> in NZD/kg H_2</a:t>
                </a:r>
                <a:endParaRPr lang="en-IN"/>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en-IN"/>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43525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a:t>How</a:t>
            </a:r>
            <a:r>
              <a:rPr lang="en-IN" baseline="0"/>
              <a:t> natural gas price affects LCOE</a:t>
            </a:r>
            <a:endParaRPr lang="en-IN"/>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N"/>
        </a:p>
      </c:txPr>
    </c:title>
    <c:autoTitleDeleted val="0"/>
    <c:plotArea>
      <c:layout/>
      <c:barChart>
        <c:barDir val="col"/>
        <c:grouping val="clustered"/>
        <c:varyColors val="0"/>
        <c:ser>
          <c:idx val="1"/>
          <c:order val="0"/>
          <c:tx>
            <c:strRef>
              <c:f>[1]Annex!$B$2</c:f>
              <c:strCache>
                <c:ptCount val="1"/>
                <c:pt idx="0">
                  <c:v>LCOE_NG (NZD/MWh)</c:v>
                </c:pt>
              </c:strCache>
            </c:strRef>
          </c:tx>
          <c:spPr>
            <a:solidFill>
              <a:schemeClr val="accent2"/>
            </a:solidFill>
            <a:ln>
              <a:noFill/>
            </a:ln>
            <a:effectLst/>
          </c:spPr>
          <c:invertIfNegative val="0"/>
          <c:cat>
            <c:numRef>
              <c:f>[1]Annex!$A$3:$A$9</c:f>
              <c:numCache>
                <c:formatCode>General</c:formatCode>
                <c:ptCount val="7"/>
                <c:pt idx="0">
                  <c:v>12</c:v>
                </c:pt>
                <c:pt idx="1">
                  <c:v>15</c:v>
                </c:pt>
                <c:pt idx="2">
                  <c:v>20</c:v>
                </c:pt>
                <c:pt idx="3">
                  <c:v>25</c:v>
                </c:pt>
                <c:pt idx="4">
                  <c:v>30</c:v>
                </c:pt>
                <c:pt idx="5">
                  <c:v>35</c:v>
                </c:pt>
                <c:pt idx="6">
                  <c:v>40</c:v>
                </c:pt>
              </c:numCache>
            </c:numRef>
          </c:cat>
          <c:val>
            <c:numRef>
              <c:f>[1]Annex!$B$3:$B$9</c:f>
              <c:numCache>
                <c:formatCode>General</c:formatCode>
                <c:ptCount val="7"/>
                <c:pt idx="0">
                  <c:v>89.532600000000002</c:v>
                </c:pt>
                <c:pt idx="1">
                  <c:v>108.5802</c:v>
                </c:pt>
                <c:pt idx="2">
                  <c:v>140.3263</c:v>
                </c:pt>
                <c:pt idx="3">
                  <c:v>172.07230000000001</c:v>
                </c:pt>
                <c:pt idx="4">
                  <c:v>203.81829999999999</c:v>
                </c:pt>
                <c:pt idx="5">
                  <c:v>235.56440000000001</c:v>
                </c:pt>
                <c:pt idx="6">
                  <c:v>267.31040000000002</c:v>
                </c:pt>
              </c:numCache>
            </c:numRef>
          </c:val>
          <c:extLst>
            <c:ext xmlns:c16="http://schemas.microsoft.com/office/drawing/2014/chart" uri="{C3380CC4-5D6E-409C-BE32-E72D297353CC}">
              <c16:uniqueId val="{00000000-12A9-4D2E-AE83-8C2E23214F78}"/>
            </c:ext>
          </c:extLst>
        </c:ser>
        <c:dLbls>
          <c:showLegendKey val="0"/>
          <c:showVal val="0"/>
          <c:showCatName val="0"/>
          <c:showSerName val="0"/>
          <c:showPercent val="0"/>
          <c:showBubbleSize val="0"/>
        </c:dLbls>
        <c:gapWidth val="219"/>
        <c:axId val="1700561088"/>
        <c:axId val="1700557728"/>
      </c:barChart>
      <c:lineChart>
        <c:grouping val="standard"/>
        <c:varyColors val="0"/>
        <c:ser>
          <c:idx val="0"/>
          <c:order val="1"/>
          <c:tx>
            <c:strRef>
              <c:f>[1]Annex!$C$2</c:f>
              <c:strCache>
                <c:ptCount val="1"/>
                <c:pt idx="0">
                  <c:v>LCOE_H2 Conservative (NZD/MWh)</c:v>
                </c:pt>
              </c:strCache>
            </c:strRef>
          </c:tx>
          <c:spPr>
            <a:ln w="28575" cap="rnd">
              <a:solidFill>
                <a:schemeClr val="accent1"/>
              </a:solidFill>
              <a:round/>
            </a:ln>
            <a:effectLst/>
          </c:spPr>
          <c:marker>
            <c:symbol val="none"/>
          </c:marker>
          <c:cat>
            <c:numRef>
              <c:f>[1]Annex!$A$3:$A$9</c:f>
              <c:numCache>
                <c:formatCode>General</c:formatCode>
                <c:ptCount val="7"/>
                <c:pt idx="0">
                  <c:v>12</c:v>
                </c:pt>
                <c:pt idx="1">
                  <c:v>15</c:v>
                </c:pt>
                <c:pt idx="2">
                  <c:v>20</c:v>
                </c:pt>
                <c:pt idx="3">
                  <c:v>25</c:v>
                </c:pt>
                <c:pt idx="4">
                  <c:v>30</c:v>
                </c:pt>
                <c:pt idx="5">
                  <c:v>35</c:v>
                </c:pt>
                <c:pt idx="6">
                  <c:v>40</c:v>
                </c:pt>
              </c:numCache>
            </c:numRef>
          </c:cat>
          <c:val>
            <c:numRef>
              <c:f>[1]Annex!$C$3:$C$9</c:f>
              <c:numCache>
                <c:formatCode>General</c:formatCode>
                <c:ptCount val="7"/>
                <c:pt idx="0">
                  <c:v>719.53</c:v>
                </c:pt>
                <c:pt idx="1">
                  <c:v>719.53</c:v>
                </c:pt>
                <c:pt idx="2">
                  <c:v>719.53</c:v>
                </c:pt>
                <c:pt idx="3">
                  <c:v>719.53</c:v>
                </c:pt>
                <c:pt idx="4">
                  <c:v>719.53</c:v>
                </c:pt>
                <c:pt idx="5">
                  <c:v>719.53</c:v>
                </c:pt>
                <c:pt idx="6">
                  <c:v>719.53</c:v>
                </c:pt>
              </c:numCache>
            </c:numRef>
          </c:val>
          <c:smooth val="0"/>
          <c:extLst>
            <c:ext xmlns:c16="http://schemas.microsoft.com/office/drawing/2014/chart" uri="{C3380CC4-5D6E-409C-BE32-E72D297353CC}">
              <c16:uniqueId val="{00000001-12A9-4D2E-AE83-8C2E23214F78}"/>
            </c:ext>
          </c:extLst>
        </c:ser>
        <c:ser>
          <c:idx val="2"/>
          <c:order val="2"/>
          <c:tx>
            <c:strRef>
              <c:f>[1]Annex!$D$2</c:f>
              <c:strCache>
                <c:ptCount val="1"/>
                <c:pt idx="0">
                  <c:v>LCOE_H2 Base (NZD/MWh)</c:v>
                </c:pt>
              </c:strCache>
            </c:strRef>
          </c:tx>
          <c:spPr>
            <a:ln w="28575" cap="rnd">
              <a:solidFill>
                <a:schemeClr val="accent3"/>
              </a:solidFill>
              <a:round/>
            </a:ln>
            <a:effectLst/>
          </c:spPr>
          <c:marker>
            <c:symbol val="none"/>
          </c:marker>
          <c:cat>
            <c:numRef>
              <c:f>[1]Annex!$A$3:$A$9</c:f>
              <c:numCache>
                <c:formatCode>General</c:formatCode>
                <c:ptCount val="7"/>
                <c:pt idx="0">
                  <c:v>12</c:v>
                </c:pt>
                <c:pt idx="1">
                  <c:v>15</c:v>
                </c:pt>
                <c:pt idx="2">
                  <c:v>20</c:v>
                </c:pt>
                <c:pt idx="3">
                  <c:v>25</c:v>
                </c:pt>
                <c:pt idx="4">
                  <c:v>30</c:v>
                </c:pt>
                <c:pt idx="5">
                  <c:v>35</c:v>
                </c:pt>
                <c:pt idx="6">
                  <c:v>40</c:v>
                </c:pt>
              </c:numCache>
            </c:numRef>
          </c:cat>
          <c:val>
            <c:numRef>
              <c:f>[1]Annex!$D$3:$D$9</c:f>
              <c:numCache>
                <c:formatCode>General</c:formatCode>
                <c:ptCount val="7"/>
                <c:pt idx="0">
                  <c:v>583.41560000000004</c:v>
                </c:pt>
                <c:pt idx="1">
                  <c:v>583.41560000000004</c:v>
                </c:pt>
                <c:pt idx="2">
                  <c:v>583.41560000000004</c:v>
                </c:pt>
                <c:pt idx="3">
                  <c:v>583.41560000000004</c:v>
                </c:pt>
                <c:pt idx="4">
                  <c:v>583.41560000000004</c:v>
                </c:pt>
                <c:pt idx="5">
                  <c:v>583.41560000000004</c:v>
                </c:pt>
                <c:pt idx="6">
                  <c:v>583.41560000000004</c:v>
                </c:pt>
              </c:numCache>
            </c:numRef>
          </c:val>
          <c:smooth val="0"/>
          <c:extLst>
            <c:ext xmlns:c16="http://schemas.microsoft.com/office/drawing/2014/chart" uri="{C3380CC4-5D6E-409C-BE32-E72D297353CC}">
              <c16:uniqueId val="{00000002-12A9-4D2E-AE83-8C2E23214F78}"/>
            </c:ext>
          </c:extLst>
        </c:ser>
        <c:ser>
          <c:idx val="3"/>
          <c:order val="3"/>
          <c:tx>
            <c:strRef>
              <c:f>[1]Annex!$E$2</c:f>
              <c:strCache>
                <c:ptCount val="1"/>
                <c:pt idx="0">
                  <c:v>LCOE_H2 Optimistic (NZD/MWh)</c:v>
                </c:pt>
              </c:strCache>
            </c:strRef>
          </c:tx>
          <c:spPr>
            <a:ln w="28575" cap="rnd">
              <a:solidFill>
                <a:schemeClr val="accent4"/>
              </a:solidFill>
              <a:round/>
            </a:ln>
            <a:effectLst/>
          </c:spPr>
          <c:marker>
            <c:symbol val="none"/>
          </c:marker>
          <c:cat>
            <c:numRef>
              <c:f>[1]Annex!$A$3:$A$9</c:f>
              <c:numCache>
                <c:formatCode>General</c:formatCode>
                <c:ptCount val="7"/>
                <c:pt idx="0">
                  <c:v>12</c:v>
                </c:pt>
                <c:pt idx="1">
                  <c:v>15</c:v>
                </c:pt>
                <c:pt idx="2">
                  <c:v>20</c:v>
                </c:pt>
                <c:pt idx="3">
                  <c:v>25</c:v>
                </c:pt>
                <c:pt idx="4">
                  <c:v>30</c:v>
                </c:pt>
                <c:pt idx="5">
                  <c:v>35</c:v>
                </c:pt>
                <c:pt idx="6">
                  <c:v>40</c:v>
                </c:pt>
              </c:numCache>
            </c:numRef>
          </c:cat>
          <c:val>
            <c:numRef>
              <c:f>[1]Annex!$E$3:$E$9</c:f>
              <c:numCache>
                <c:formatCode>General</c:formatCode>
                <c:ptCount val="7"/>
                <c:pt idx="0">
                  <c:v>421.88</c:v>
                </c:pt>
                <c:pt idx="1">
                  <c:v>421.88</c:v>
                </c:pt>
                <c:pt idx="2">
                  <c:v>421.88</c:v>
                </c:pt>
                <c:pt idx="3">
                  <c:v>421.88</c:v>
                </c:pt>
                <c:pt idx="4">
                  <c:v>421.88</c:v>
                </c:pt>
                <c:pt idx="5">
                  <c:v>421.88</c:v>
                </c:pt>
                <c:pt idx="6">
                  <c:v>421.88</c:v>
                </c:pt>
              </c:numCache>
            </c:numRef>
          </c:val>
          <c:smooth val="0"/>
          <c:extLst>
            <c:ext xmlns:c16="http://schemas.microsoft.com/office/drawing/2014/chart" uri="{C3380CC4-5D6E-409C-BE32-E72D297353CC}">
              <c16:uniqueId val="{00000003-12A9-4D2E-AE83-8C2E23214F78}"/>
            </c:ext>
          </c:extLst>
        </c:ser>
        <c:dLbls>
          <c:showLegendKey val="0"/>
          <c:showVal val="0"/>
          <c:showCatName val="0"/>
          <c:showSerName val="0"/>
          <c:showPercent val="0"/>
          <c:showBubbleSize val="0"/>
        </c:dLbls>
        <c:marker val="1"/>
        <c:smooth val="0"/>
        <c:axId val="1700561088"/>
        <c:axId val="1700557728"/>
      </c:lineChart>
      <c:catAx>
        <c:axId val="1700561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N"/>
                  <a:t>NZD/GJ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0557728"/>
        <c:crosses val="autoZero"/>
        <c:auto val="1"/>
        <c:lblAlgn val="ctr"/>
        <c:lblOffset val="100"/>
        <c:noMultiLvlLbl val="0"/>
      </c:catAx>
      <c:valAx>
        <c:axId val="1700557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N"/>
                  <a:t>NZD/MWh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0561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IN"/>
              <a:t>How</a:t>
            </a:r>
            <a:r>
              <a:rPr lang="en-IN" baseline="0"/>
              <a:t> Carbon rate breakeven prices vary with varying natural gas price</a:t>
            </a:r>
            <a:endParaRPr lang="en-IN"/>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n-IN"/>
        </a:p>
      </c:txPr>
    </c:title>
    <c:autoTitleDeleted val="0"/>
    <c:plotArea>
      <c:layout/>
      <c:lineChart>
        <c:grouping val="standard"/>
        <c:varyColors val="0"/>
        <c:ser>
          <c:idx val="1"/>
          <c:order val="0"/>
          <c:tx>
            <c:strRef>
              <c:f>[1]Annex!$B$11</c:f>
              <c:strCache>
                <c:ptCount val="1"/>
                <c:pt idx="0">
                  <c:v>Carbon Price Breakeven (NZD/tCO2) (Base Case)</c:v>
                </c:pt>
              </c:strCache>
            </c:strRef>
          </c:tx>
          <c:spPr>
            <a:ln w="22225" cap="rnd" cmpd="sng" algn="ctr">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[1]Annex!$A$12:$A$18</c:f>
              <c:numCache>
                <c:formatCode>General</c:formatCode>
                <c:ptCount val="7"/>
                <c:pt idx="0">
                  <c:v>12</c:v>
                </c:pt>
                <c:pt idx="1">
                  <c:v>15</c:v>
                </c:pt>
                <c:pt idx="2">
                  <c:v>20</c:v>
                </c:pt>
                <c:pt idx="3">
                  <c:v>25</c:v>
                </c:pt>
                <c:pt idx="4">
                  <c:v>30</c:v>
                </c:pt>
                <c:pt idx="5">
                  <c:v>35</c:v>
                </c:pt>
                <c:pt idx="6">
                  <c:v>40</c:v>
                </c:pt>
              </c:numCache>
            </c:numRef>
          </c:cat>
          <c:val>
            <c:numRef>
              <c:f>[1]Annex!$B$12:$B$18</c:f>
              <c:numCache>
                <c:formatCode>General</c:formatCode>
                <c:ptCount val="7"/>
                <c:pt idx="0">
                  <c:v>1411.0942</c:v>
                </c:pt>
                <c:pt idx="1">
                  <c:v>1356.6723999999999</c:v>
                </c:pt>
                <c:pt idx="2">
                  <c:v>1265.9694</c:v>
                </c:pt>
                <c:pt idx="3">
                  <c:v>1175.2665</c:v>
                </c:pt>
                <c:pt idx="4">
                  <c:v>1084.5635</c:v>
                </c:pt>
                <c:pt idx="5">
                  <c:v>993.86059999999998</c:v>
                </c:pt>
                <c:pt idx="6">
                  <c:v>903.1576</c:v>
                </c:pt>
              </c:numCache>
            </c:numRef>
          </c:val>
          <c:smooth val="0"/>
          <c:extLst>
            <c:ext xmlns:c16="http://schemas.microsoft.com/office/drawing/2014/chart" uri="{C3380CC4-5D6E-409C-BE32-E72D297353CC}">
              <c16:uniqueId val="{00000000-F71F-43D6-9A49-439B28BD1C15}"/>
            </c:ext>
          </c:extLst>
        </c:ser>
        <c:ser>
          <c:idx val="0"/>
          <c:order val="1"/>
          <c:tx>
            <c:strRef>
              <c:f>[1]Annex!$C$11</c:f>
              <c:strCache>
                <c:ptCount val="1"/>
                <c:pt idx="0">
                  <c:v>Carbon Price Breakeven (NZD/tCO2) (Optimistic Case)</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[1]Annex!$A$12:$A$18</c:f>
              <c:numCache>
                <c:formatCode>General</c:formatCode>
                <c:ptCount val="7"/>
                <c:pt idx="0">
                  <c:v>12</c:v>
                </c:pt>
                <c:pt idx="1">
                  <c:v>15</c:v>
                </c:pt>
                <c:pt idx="2">
                  <c:v>20</c:v>
                </c:pt>
                <c:pt idx="3">
                  <c:v>25</c:v>
                </c:pt>
                <c:pt idx="4">
                  <c:v>30</c:v>
                </c:pt>
                <c:pt idx="5">
                  <c:v>35</c:v>
                </c:pt>
                <c:pt idx="6">
                  <c:v>40</c:v>
                </c:pt>
              </c:numCache>
            </c:numRef>
          </c:cat>
          <c:val>
            <c:numRef>
              <c:f>[1]Annex!$C$12:$C$18</c:f>
              <c:numCache>
                <c:formatCode>General</c:formatCode>
                <c:ptCount val="7"/>
                <c:pt idx="0">
                  <c:v>949.55930000000001</c:v>
                </c:pt>
                <c:pt idx="1">
                  <c:v>895.13750000000005</c:v>
                </c:pt>
                <c:pt idx="2">
                  <c:v>804.43460000000005</c:v>
                </c:pt>
                <c:pt idx="3">
                  <c:v>713.73159999999996</c:v>
                </c:pt>
                <c:pt idx="4">
                  <c:v>623.02869999999996</c:v>
                </c:pt>
                <c:pt idx="5">
                  <c:v>532.32569999999998</c:v>
                </c:pt>
                <c:pt idx="6">
                  <c:v>441.62279999999998</c:v>
                </c:pt>
              </c:numCache>
            </c:numRef>
          </c:val>
          <c:smooth val="0"/>
          <c:extLst>
            <c:ext xmlns:c16="http://schemas.microsoft.com/office/drawing/2014/chart" uri="{C3380CC4-5D6E-409C-BE32-E72D297353CC}">
              <c16:uniqueId val="{00000001-F71F-43D6-9A49-439B28BD1C15}"/>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marker val="1"/>
        <c:smooth val="0"/>
        <c:axId val="195280208"/>
        <c:axId val="195281648"/>
      </c:lineChart>
      <c:lineChart>
        <c:grouping val="standard"/>
        <c:varyColors val="0"/>
        <c:ser>
          <c:idx val="2"/>
          <c:order val="2"/>
          <c:tx>
            <c:strRef>
              <c:f>[1]Annex!$D$11</c:f>
              <c:strCache>
                <c:ptCount val="1"/>
                <c:pt idx="0">
                  <c:v>NG LCOE including current NZ ETS carbon cost</c:v>
                </c:pt>
              </c:strCache>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[1]Annex!$D$12:$D$18</c:f>
              <c:numCache>
                <c:formatCode>General</c:formatCode>
                <c:ptCount val="7"/>
                <c:pt idx="0">
                  <c:v>112.2826</c:v>
                </c:pt>
                <c:pt idx="1">
                  <c:v>131.33019999999999</c:v>
                </c:pt>
                <c:pt idx="2">
                  <c:v>163.0763</c:v>
                </c:pt>
                <c:pt idx="3">
                  <c:v>194.82230000000001</c:v>
                </c:pt>
                <c:pt idx="4">
                  <c:v>226.56829999999999</c:v>
                </c:pt>
                <c:pt idx="5">
                  <c:v>258.31439999999998</c:v>
                </c:pt>
                <c:pt idx="6">
                  <c:v>290.06040000000002</c:v>
                </c:pt>
              </c:numCache>
            </c:numRef>
          </c:val>
          <c:smooth val="0"/>
          <c:extLst>
            <c:ext xmlns:c16="http://schemas.microsoft.com/office/drawing/2014/chart" uri="{C3380CC4-5D6E-409C-BE32-E72D297353CC}">
              <c16:uniqueId val="{00000002-F71F-43D6-9A49-439B28BD1C15}"/>
            </c:ext>
          </c:extLst>
        </c:ser>
        <c:dLbls>
          <c:showLegendKey val="0"/>
          <c:showVal val="0"/>
          <c:showCatName val="0"/>
          <c:showSerName val="0"/>
          <c:showPercent val="0"/>
          <c:showBubbleSize val="0"/>
        </c:dLbls>
        <c:marker val="1"/>
        <c:smooth val="0"/>
        <c:axId val="195316688"/>
        <c:axId val="195321488"/>
      </c:lineChart>
      <c:catAx>
        <c:axId val="195280208"/>
        <c:scaling>
          <c:orientation val="minMax"/>
        </c:scaling>
        <c:delete val="0"/>
        <c:axPos val="b"/>
        <c:title>
          <c:tx>
            <c:rich>
              <a:bodyPr rot="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n-IN"/>
                  <a:t>NZD/GJ</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195281648"/>
        <c:crosses val="autoZero"/>
        <c:auto val="1"/>
        <c:lblAlgn val="ctr"/>
        <c:lblOffset val="100"/>
        <c:noMultiLvlLbl val="0"/>
      </c:catAx>
      <c:valAx>
        <c:axId val="195281648"/>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n-IN"/>
                  <a:t>NZD/TCO2</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195280208"/>
        <c:crosses val="autoZero"/>
        <c:crossBetween val="between"/>
      </c:valAx>
      <c:valAx>
        <c:axId val="195321488"/>
        <c:scaling>
          <c:orientation val="minMax"/>
        </c:scaling>
        <c:delete val="0"/>
        <c:axPos val="r"/>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n-IN"/>
                  <a:t>NZD/MWh</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195316688"/>
        <c:crosses val="max"/>
        <c:crossBetween val="between"/>
      </c:valAx>
      <c:catAx>
        <c:axId val="195316688"/>
        <c:scaling>
          <c:orientation val="minMax"/>
        </c:scaling>
        <c:delete val="1"/>
        <c:axPos val="b"/>
        <c:majorTickMark val="out"/>
        <c:minorTickMark val="none"/>
        <c:tickLblPos val="nextTo"/>
        <c:crossAx val="195321488"/>
        <c:crosses val="autoZero"/>
        <c:auto val="1"/>
        <c:lblAlgn val="ctr"/>
        <c:lblOffset val="100"/>
        <c:noMultiLvlLbl val="0"/>
      </c:cat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n-IN" baseline="0"/>
              <a:t>To what extend does increasing carbon penalty affects  LCOH and breakeven point</a:t>
            </a:r>
            <a:endParaRPr lang="en-IN"/>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n-IN"/>
        </a:p>
      </c:txPr>
    </c:title>
    <c:autoTitleDeleted val="0"/>
    <c:plotArea>
      <c:layout/>
      <c:lineChart>
        <c:grouping val="standard"/>
        <c:varyColors val="0"/>
        <c:ser>
          <c:idx val="1"/>
          <c:order val="0"/>
          <c:tx>
            <c:strRef>
              <c:f>[1]Annex!$B$20</c:f>
              <c:strCache>
                <c:ptCount val="1"/>
                <c:pt idx="0">
                  <c:v>LCOE_NG incl. Carbon Cost (NZD/MWh)</c:v>
                </c:pt>
              </c:strCache>
            </c:strRef>
          </c:tx>
          <c:spPr>
            <a:ln w="22225" cap="rnd">
              <a:solidFill>
                <a:schemeClr val="accent5"/>
              </a:solidFill>
              <a:round/>
            </a:ln>
            <a:effectLst/>
          </c:spPr>
          <c:marker>
            <c:symbol val="none"/>
          </c:marker>
          <c:cat>
            <c:numRef>
              <c:f>[1]Annex!$A$21:$A$27</c:f>
              <c:numCache>
                <c:formatCode>General</c:formatCode>
                <c:ptCount val="7"/>
                <c:pt idx="0">
                  <c:v>65</c:v>
                </c:pt>
                <c:pt idx="1">
                  <c:v>100</c:v>
                </c:pt>
                <c:pt idx="2">
                  <c:v>150</c:v>
                </c:pt>
                <c:pt idx="3">
                  <c:v>200</c:v>
                </c:pt>
                <c:pt idx="4">
                  <c:v>300</c:v>
                </c:pt>
                <c:pt idx="5">
                  <c:v>500</c:v>
                </c:pt>
                <c:pt idx="6">
                  <c:v>1000</c:v>
                </c:pt>
              </c:numCache>
            </c:numRef>
          </c:cat>
          <c:val>
            <c:numRef>
              <c:f>[1]Annex!$B$21:$B$27</c:f>
              <c:numCache>
                <c:formatCode>General</c:formatCode>
                <c:ptCount val="7"/>
                <c:pt idx="0">
                  <c:v>163.0763</c:v>
                </c:pt>
                <c:pt idx="1">
                  <c:v>175.3263</c:v>
                </c:pt>
                <c:pt idx="2">
                  <c:v>192.8263</c:v>
                </c:pt>
                <c:pt idx="3">
                  <c:v>210.3263</c:v>
                </c:pt>
                <c:pt idx="4">
                  <c:v>245.3263</c:v>
                </c:pt>
                <c:pt idx="5">
                  <c:v>315.3263</c:v>
                </c:pt>
                <c:pt idx="6">
                  <c:v>490.3263</c:v>
                </c:pt>
              </c:numCache>
            </c:numRef>
          </c:val>
          <c:smooth val="0"/>
          <c:extLst>
            <c:ext xmlns:c16="http://schemas.microsoft.com/office/drawing/2014/chart" uri="{C3380CC4-5D6E-409C-BE32-E72D297353CC}">
              <c16:uniqueId val="{00000000-0F98-4868-B9D6-14F96962122F}"/>
            </c:ext>
          </c:extLst>
        </c:ser>
        <c:ser>
          <c:idx val="0"/>
          <c:order val="1"/>
          <c:tx>
            <c:strRef>
              <c:f>[1]Annex!$C$20</c:f>
              <c:strCache>
                <c:ptCount val="1"/>
                <c:pt idx="0">
                  <c:v>LCOE_H2 Conservative (NZD/MWh)</c:v>
                </c:pt>
              </c:strCache>
            </c:strRef>
          </c:tx>
          <c:spPr>
            <a:ln w="22225" cap="rnd">
              <a:solidFill>
                <a:schemeClr val="accent6"/>
              </a:solidFill>
              <a:round/>
            </a:ln>
            <a:effectLst/>
          </c:spPr>
          <c:marker>
            <c:symbol val="none"/>
          </c:marker>
          <c:cat>
            <c:numRef>
              <c:f>[1]Annex!$A$21:$A$27</c:f>
              <c:numCache>
                <c:formatCode>General</c:formatCode>
                <c:ptCount val="7"/>
                <c:pt idx="0">
                  <c:v>65</c:v>
                </c:pt>
                <c:pt idx="1">
                  <c:v>100</c:v>
                </c:pt>
                <c:pt idx="2">
                  <c:v>150</c:v>
                </c:pt>
                <c:pt idx="3">
                  <c:v>200</c:v>
                </c:pt>
                <c:pt idx="4">
                  <c:v>300</c:v>
                </c:pt>
                <c:pt idx="5">
                  <c:v>500</c:v>
                </c:pt>
                <c:pt idx="6">
                  <c:v>1000</c:v>
                </c:pt>
              </c:numCache>
            </c:numRef>
          </c:cat>
          <c:val>
            <c:numRef>
              <c:f>[1]Annex!$C$21:$C$27</c:f>
              <c:numCache>
                <c:formatCode>General</c:formatCode>
                <c:ptCount val="7"/>
                <c:pt idx="0">
                  <c:v>719.53</c:v>
                </c:pt>
                <c:pt idx="1">
                  <c:v>719.53</c:v>
                </c:pt>
                <c:pt idx="2">
                  <c:v>719.53</c:v>
                </c:pt>
                <c:pt idx="3">
                  <c:v>719.53</c:v>
                </c:pt>
                <c:pt idx="4">
                  <c:v>719.53</c:v>
                </c:pt>
                <c:pt idx="5">
                  <c:v>719.53</c:v>
                </c:pt>
                <c:pt idx="6">
                  <c:v>719.53</c:v>
                </c:pt>
              </c:numCache>
            </c:numRef>
          </c:val>
          <c:smooth val="0"/>
          <c:extLst>
            <c:ext xmlns:c16="http://schemas.microsoft.com/office/drawing/2014/chart" uri="{C3380CC4-5D6E-409C-BE32-E72D297353CC}">
              <c16:uniqueId val="{00000001-0F98-4868-B9D6-14F96962122F}"/>
            </c:ext>
          </c:extLst>
        </c:ser>
        <c:ser>
          <c:idx val="2"/>
          <c:order val="2"/>
          <c:tx>
            <c:strRef>
              <c:f>[1]Annex!$D$20</c:f>
              <c:strCache>
                <c:ptCount val="1"/>
                <c:pt idx="0">
                  <c:v>LCOE_H2 Base (NZD/MWh)</c:v>
                </c:pt>
              </c:strCache>
            </c:strRef>
          </c:tx>
          <c:spPr>
            <a:ln w="22225" cap="rnd">
              <a:solidFill>
                <a:schemeClr val="accent4"/>
              </a:solidFill>
              <a:round/>
            </a:ln>
            <a:effectLst/>
          </c:spPr>
          <c:marker>
            <c:symbol val="none"/>
          </c:marker>
          <c:cat>
            <c:numRef>
              <c:f>[1]Annex!$A$21:$A$27</c:f>
              <c:numCache>
                <c:formatCode>General</c:formatCode>
                <c:ptCount val="7"/>
                <c:pt idx="0">
                  <c:v>65</c:v>
                </c:pt>
                <c:pt idx="1">
                  <c:v>100</c:v>
                </c:pt>
                <c:pt idx="2">
                  <c:v>150</c:v>
                </c:pt>
                <c:pt idx="3">
                  <c:v>200</c:v>
                </c:pt>
                <c:pt idx="4">
                  <c:v>300</c:v>
                </c:pt>
                <c:pt idx="5">
                  <c:v>500</c:v>
                </c:pt>
                <c:pt idx="6">
                  <c:v>1000</c:v>
                </c:pt>
              </c:numCache>
            </c:numRef>
          </c:cat>
          <c:val>
            <c:numRef>
              <c:f>[1]Annex!$D$21:$D$27</c:f>
              <c:numCache>
                <c:formatCode>General</c:formatCode>
                <c:ptCount val="7"/>
                <c:pt idx="0">
                  <c:v>583.41560000000004</c:v>
                </c:pt>
                <c:pt idx="1">
                  <c:v>583.41560000000004</c:v>
                </c:pt>
                <c:pt idx="2">
                  <c:v>583.41560000000004</c:v>
                </c:pt>
                <c:pt idx="3">
                  <c:v>583.41560000000004</c:v>
                </c:pt>
                <c:pt idx="4">
                  <c:v>583.41560000000004</c:v>
                </c:pt>
                <c:pt idx="5">
                  <c:v>583.41560000000004</c:v>
                </c:pt>
                <c:pt idx="6">
                  <c:v>583.41560000000004</c:v>
                </c:pt>
              </c:numCache>
            </c:numRef>
          </c:val>
          <c:smooth val="0"/>
          <c:extLst>
            <c:ext xmlns:c16="http://schemas.microsoft.com/office/drawing/2014/chart" uri="{C3380CC4-5D6E-409C-BE32-E72D297353CC}">
              <c16:uniqueId val="{00000002-0F98-4868-B9D6-14F96962122F}"/>
            </c:ext>
          </c:extLst>
        </c:ser>
        <c:ser>
          <c:idx val="3"/>
          <c:order val="3"/>
          <c:tx>
            <c:strRef>
              <c:f>[1]Annex!$E$20</c:f>
              <c:strCache>
                <c:ptCount val="1"/>
                <c:pt idx="0">
                  <c:v>LCOE_H2 Optimistic (NZD/MWh)</c:v>
                </c:pt>
              </c:strCache>
            </c:strRef>
          </c:tx>
          <c:spPr>
            <a:ln w="22225" cap="rnd">
              <a:solidFill>
                <a:schemeClr val="accent6">
                  <a:lumMod val="60000"/>
                </a:schemeClr>
              </a:solidFill>
              <a:round/>
            </a:ln>
            <a:effectLst/>
          </c:spPr>
          <c:marker>
            <c:symbol val="none"/>
          </c:marker>
          <c:cat>
            <c:numRef>
              <c:f>[1]Annex!$A$21:$A$27</c:f>
              <c:numCache>
                <c:formatCode>General</c:formatCode>
                <c:ptCount val="7"/>
                <c:pt idx="0">
                  <c:v>65</c:v>
                </c:pt>
                <c:pt idx="1">
                  <c:v>100</c:v>
                </c:pt>
                <c:pt idx="2">
                  <c:v>150</c:v>
                </c:pt>
                <c:pt idx="3">
                  <c:v>200</c:v>
                </c:pt>
                <c:pt idx="4">
                  <c:v>300</c:v>
                </c:pt>
                <c:pt idx="5">
                  <c:v>500</c:v>
                </c:pt>
                <c:pt idx="6">
                  <c:v>1000</c:v>
                </c:pt>
              </c:numCache>
            </c:numRef>
          </c:cat>
          <c:val>
            <c:numRef>
              <c:f>[1]Annex!$E$21:$E$27</c:f>
              <c:numCache>
                <c:formatCode>General</c:formatCode>
                <c:ptCount val="7"/>
                <c:pt idx="0">
                  <c:v>421.88</c:v>
                </c:pt>
                <c:pt idx="1">
                  <c:v>421.88</c:v>
                </c:pt>
                <c:pt idx="2">
                  <c:v>421.88</c:v>
                </c:pt>
                <c:pt idx="3">
                  <c:v>421.88</c:v>
                </c:pt>
                <c:pt idx="4">
                  <c:v>421.88</c:v>
                </c:pt>
                <c:pt idx="5">
                  <c:v>421.88</c:v>
                </c:pt>
                <c:pt idx="6">
                  <c:v>421.88</c:v>
                </c:pt>
              </c:numCache>
            </c:numRef>
          </c:val>
          <c:smooth val="0"/>
          <c:extLst>
            <c:ext xmlns:c16="http://schemas.microsoft.com/office/drawing/2014/chart" uri="{C3380CC4-5D6E-409C-BE32-E72D297353CC}">
              <c16:uniqueId val="{00000003-0F98-4868-B9D6-14F96962122F}"/>
            </c:ext>
          </c:extLst>
        </c:ser>
        <c:dLbls>
          <c:showLegendKey val="0"/>
          <c:showVal val="0"/>
          <c:showCatName val="0"/>
          <c:showSerName val="0"/>
          <c:showPercent val="0"/>
          <c:showBubbleSize val="0"/>
        </c:dLbls>
        <c:smooth val="0"/>
        <c:axId val="195334928"/>
        <c:axId val="195335408"/>
      </c:lineChart>
      <c:catAx>
        <c:axId val="195334928"/>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195335408"/>
        <c:crosses val="autoZero"/>
        <c:auto val="1"/>
        <c:lblAlgn val="ctr"/>
        <c:lblOffset val="100"/>
        <c:noMultiLvlLbl val="0"/>
      </c:catAx>
      <c:valAx>
        <c:axId val="195335408"/>
        <c:scaling>
          <c:orientation val="minMax"/>
        </c:scaling>
        <c:delete val="0"/>
        <c:axPos val="l"/>
        <c:majorGridlines>
          <c:spPr>
            <a:ln w="9525" cap="flat" cmpd="sng" algn="ctr">
              <a:solidFill>
                <a:schemeClr val="dk1">
                  <a:lumMod val="15000"/>
                  <a:lumOff val="85000"/>
                  <a:alpha val="54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95334928"/>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Reversed" id="22">
  <a:schemeClr val="accent2"/>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5">
  <a:schemeClr val="accent5"/>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4">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114300</xdr:rowOff>
    </xdr:from>
    <xdr:to>
      <xdr:col>9</xdr:col>
      <xdr:colOff>209550</xdr:colOff>
      <xdr:row>10</xdr:row>
      <xdr:rowOff>152400</xdr:rowOff>
    </xdr:to>
    <xdr:sp macro="" textlink="">
      <xdr:nvSpPr>
        <xdr:cNvPr id="2" name="TextBox 1">
          <a:extLst>
            <a:ext uri="{FF2B5EF4-FFF2-40B4-BE49-F238E27FC236}">
              <a16:creationId xmlns:a16="http://schemas.microsoft.com/office/drawing/2014/main" id="{F5BE8199-E5F9-4BE5-6620-2001E497AA77}"/>
            </a:ext>
          </a:extLst>
        </xdr:cNvPr>
        <xdr:cNvSpPr txBox="1"/>
      </xdr:nvSpPr>
      <xdr:spPr>
        <a:xfrm>
          <a:off x="0" y="666750"/>
          <a:ext cx="10610850" cy="132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a:t>This workbook contains all the calculations for the research project. It is organised into two parts. The first part (from sheets 1 to 9) calculates how much it costs to produce and store green hydrogen at Ahuroa ,this is the LCOH model. The second part (sheets 10 to 13) takes that cost and works out how much it would cost to generate electricity using that hydrogen at the Taranaki Combined Cycle power station, this is the CCGT integration model. All calculations are done for three scenarios</a:t>
          </a:r>
          <a:r>
            <a:rPr lang="en-IN" baseline="0"/>
            <a:t>:</a:t>
          </a:r>
          <a:r>
            <a:rPr lang="en-IN"/>
            <a:t> conservative, base case, and optimistic. The conservative scenario assumes lower equipment reusability and current electrolyser costs, representing a worst-case outcome. The base case uses the actual injection rate measured from Ahuroa operational data as the main constraint on hydrogen production, with current electrolyser costs, this is the most realistic scenario. The optimistic scenario assumes the full theoretical reservoir capacity is used with projected 2030 electrolyser costs, representing the best-case outcome if infrastructure is upgraded and technology costs fall as expected.</a:t>
          </a:r>
          <a:endParaRPr lang="en-IN"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xdr:colOff>
      <xdr:row>21</xdr:row>
      <xdr:rowOff>88900</xdr:rowOff>
    </xdr:from>
    <xdr:to>
      <xdr:col>3</xdr:col>
      <xdr:colOff>400049</xdr:colOff>
      <xdr:row>28</xdr:row>
      <xdr:rowOff>25400</xdr:rowOff>
    </xdr:to>
    <xdr:sp macro="" textlink="">
      <xdr:nvSpPr>
        <xdr:cNvPr id="2" name="TextBox 1">
          <a:extLst>
            <a:ext uri="{FF2B5EF4-FFF2-40B4-BE49-F238E27FC236}">
              <a16:creationId xmlns:a16="http://schemas.microsoft.com/office/drawing/2014/main" id="{6D42A754-4EF5-C193-90BB-72AA40829840}"/>
            </a:ext>
          </a:extLst>
        </xdr:cNvPr>
        <xdr:cNvSpPr txBox="1"/>
      </xdr:nvSpPr>
      <xdr:spPr>
        <a:xfrm>
          <a:off x="12700" y="4876800"/>
          <a:ext cx="9245599" cy="122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a:t>Three scenarios are developed reflecting the range of plausible outcomes for the Ahuroa UHS facility. The Conservative scenario applies a working gas capacity of 0.45 TWh with 15% equipment reusability (CDGR-equivalent) and current IEA (2024) electrolyser costs of USD 2,160/kWe. The Base Case uses the injection-rate-constrained hydrogen production of 10,572,240 kg/yr derived from AhuroaStorage.xlsx operational data (2020–2023)  the binding physical constraint on annual H2 production at Ahuroa, with 60% equipment reusability per Deng et al. (2025) and current electrolyser costs. The Optimistic scenario applies the full theoretical working gas capacity of 1.40 TWh from Higgs et al. (2024), 70% equipment reusability, and IEA (2024) NZE 2030 projected electrolyser costs of USD 960/kWe, assuming infrastructure upgrades and future cost reductions.</a:t>
          </a:r>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133350</xdr:rowOff>
    </xdr:from>
    <xdr:to>
      <xdr:col>2</xdr:col>
      <xdr:colOff>1885950</xdr:colOff>
      <xdr:row>46</xdr:row>
      <xdr:rowOff>0</xdr:rowOff>
    </xdr:to>
    <xdr:sp macro="" textlink="">
      <xdr:nvSpPr>
        <xdr:cNvPr id="2" name="TextBox 1">
          <a:extLst>
            <a:ext uri="{FF2B5EF4-FFF2-40B4-BE49-F238E27FC236}">
              <a16:creationId xmlns:a16="http://schemas.microsoft.com/office/drawing/2014/main" id="{C7A6F3D1-6DCF-4471-8945-4604EC0A89B0}"/>
            </a:ext>
          </a:extLst>
        </xdr:cNvPr>
        <xdr:cNvSpPr txBox="1"/>
      </xdr:nvSpPr>
      <xdr:spPr>
        <a:xfrm>
          <a:off x="0" y="9893300"/>
          <a:ext cx="10629900"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a:t>A base-case natural gas price of NZD 20/GJ was adopted using historical industrial gas pricing data reported by the New Zealand Ministry of Business, Innovation and Employment (MBIE, 2024). High-price sensitivity cases of NZD 26–30/GJ and an LNG-import future scenario of NZD 45/GJ were adopted based on future gas market assumptions reported in the EECA RETA Auckland Report (2025, p.78). </a:t>
          </a:r>
          <a:endParaRPr lang="en-IN"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238124</xdr:colOff>
      <xdr:row>9</xdr:row>
      <xdr:rowOff>19050</xdr:rowOff>
    </xdr:from>
    <xdr:to>
      <xdr:col>3</xdr:col>
      <xdr:colOff>1511299</xdr:colOff>
      <xdr:row>17</xdr:row>
      <xdr:rowOff>82550</xdr:rowOff>
    </xdr:to>
    <xdr:sp macro="" textlink="">
      <xdr:nvSpPr>
        <xdr:cNvPr id="2" name="TextBox 1">
          <a:extLst>
            <a:ext uri="{FF2B5EF4-FFF2-40B4-BE49-F238E27FC236}">
              <a16:creationId xmlns:a16="http://schemas.microsoft.com/office/drawing/2014/main" id="{798E0389-D24B-4209-A1A0-40BE3D6EFCBB}"/>
            </a:ext>
          </a:extLst>
        </xdr:cNvPr>
        <xdr:cNvSpPr txBox="1"/>
      </xdr:nvSpPr>
      <xdr:spPr>
        <a:xfrm>
          <a:off x="238124" y="4089400"/>
          <a:ext cx="9915525" cy="153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a:t>The carbon price required to make hydrogen-fuelled electricity from Ahuroa cost-competitive with natural gas generation at the Taranaki Combined Cycle plant ranges from NZD 998/tCO2 in the optimistic scenario to NZD 1,849/tCO2 in the conservative scenario. This is calculated by dividing the cost gap between hydrogen and natural gas LCOE by the natural gas CO2 emissions factor of 0.35 tCO2/MWh (Garcia and Guédez, 2025, p.9) , the logic being that a rising carbon price increases the cost of natural gas electricity while leaving hydrogen LCOE unchanged, since hydrogen combustion produces zero direct CO2 emissions. The current NZ ETS carbon price fluctuates between NZD 50–70/tCO2 (ICAP, 2025), with the 2026 auction reserve price floor set at NZD 71/tCO2 ,approximately 14–28 times lower than the breakeven price required across the three scenarios. This confirms that carbon pricing alone under current and near-term NZ policy settings is insufficient to make Ahuroa hydrogen commercially competitive with natural gas generation, and that competitiveness requires a combination of declining electrolyser costs, rising natural gas prices, and direct production support mechanisms beyond the existing ETS framework.</a:t>
          </a:r>
          <a:endParaRPr lang="en-IN"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603250</xdr:colOff>
      <xdr:row>17</xdr:row>
      <xdr:rowOff>88900</xdr:rowOff>
    </xdr:to>
    <xdr:graphicFrame macro="">
      <xdr:nvGraphicFramePr>
        <xdr:cNvPr id="2" name="Chart 1">
          <a:extLst>
            <a:ext uri="{FF2B5EF4-FFF2-40B4-BE49-F238E27FC236}">
              <a16:creationId xmlns:a16="http://schemas.microsoft.com/office/drawing/2014/main" id="{EE5D8EC5-6A83-4423-A0C2-B10C34917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228600</xdr:colOff>
      <xdr:row>2</xdr:row>
      <xdr:rowOff>0</xdr:rowOff>
    </xdr:from>
    <xdr:to>
      <xdr:col>20</xdr:col>
      <xdr:colOff>15876</xdr:colOff>
      <xdr:row>17</xdr:row>
      <xdr:rowOff>82550</xdr:rowOff>
    </xdr:to>
    <xdr:graphicFrame macro="">
      <xdr:nvGraphicFramePr>
        <xdr:cNvPr id="3" name="Chart 2">
          <a:extLst>
            <a:ext uri="{FF2B5EF4-FFF2-40B4-BE49-F238E27FC236}">
              <a16:creationId xmlns:a16="http://schemas.microsoft.com/office/drawing/2014/main" id="{06DCDDA2-0DC7-45C5-8F4D-8AD7E5D53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19</xdr:row>
      <xdr:rowOff>0</xdr:rowOff>
    </xdr:from>
    <xdr:to>
      <xdr:col>8</xdr:col>
      <xdr:colOff>555625</xdr:colOff>
      <xdr:row>41</xdr:row>
      <xdr:rowOff>101600</xdr:rowOff>
    </xdr:to>
    <xdr:graphicFrame macro="">
      <xdr:nvGraphicFramePr>
        <xdr:cNvPr id="5" name="Chart 4">
          <a:extLst>
            <a:ext uri="{FF2B5EF4-FFF2-40B4-BE49-F238E27FC236}">
              <a16:creationId xmlns:a16="http://schemas.microsoft.com/office/drawing/2014/main" id="{E910B730-2E42-49E4-A7F7-D3E8E52E2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19</xdr:row>
      <xdr:rowOff>0</xdr:rowOff>
    </xdr:from>
    <xdr:to>
      <xdr:col>22</xdr:col>
      <xdr:colOff>215900</xdr:colOff>
      <xdr:row>41</xdr:row>
      <xdr:rowOff>101600</xdr:rowOff>
    </xdr:to>
    <xdr:graphicFrame macro="">
      <xdr:nvGraphicFramePr>
        <xdr:cNvPr id="6" name="Chart 5">
          <a:extLst>
            <a:ext uri="{FF2B5EF4-FFF2-40B4-BE49-F238E27FC236}">
              <a16:creationId xmlns:a16="http://schemas.microsoft.com/office/drawing/2014/main" id="{279D5DBF-6D92-486A-B7C2-E4545134D9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43</xdr:row>
      <xdr:rowOff>0</xdr:rowOff>
    </xdr:from>
    <xdr:to>
      <xdr:col>7</xdr:col>
      <xdr:colOff>304800</xdr:colOff>
      <xdr:row>57</xdr:row>
      <xdr:rowOff>165100</xdr:rowOff>
    </xdr:to>
    <xdr:graphicFrame macro="">
      <xdr:nvGraphicFramePr>
        <xdr:cNvPr id="7" name="Chart 6">
          <a:extLst>
            <a:ext uri="{FF2B5EF4-FFF2-40B4-BE49-F238E27FC236}">
              <a16:creationId xmlns:a16="http://schemas.microsoft.com/office/drawing/2014/main" id="{64C1458F-BFDE-4C8D-BD8A-08D042A08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43</xdr:row>
      <xdr:rowOff>0</xdr:rowOff>
    </xdr:from>
    <xdr:to>
      <xdr:col>16</xdr:col>
      <xdr:colOff>377825</xdr:colOff>
      <xdr:row>57</xdr:row>
      <xdr:rowOff>165100</xdr:rowOff>
    </xdr:to>
    <xdr:graphicFrame macro="">
      <xdr:nvGraphicFramePr>
        <xdr:cNvPr id="8" name="Chart 7">
          <a:extLst>
            <a:ext uri="{FF2B5EF4-FFF2-40B4-BE49-F238E27FC236}">
              <a16:creationId xmlns:a16="http://schemas.microsoft.com/office/drawing/2014/main" id="{8A07F40C-5AA2-48E5-9C96-123B7B3EBE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101600</xdr:colOff>
      <xdr:row>2</xdr:row>
      <xdr:rowOff>0</xdr:rowOff>
    </xdr:from>
    <xdr:to>
      <xdr:col>9</xdr:col>
      <xdr:colOff>330200</xdr:colOff>
      <xdr:row>22</xdr:row>
      <xdr:rowOff>152400</xdr:rowOff>
    </xdr:to>
    <xdr:graphicFrame macro="">
      <xdr:nvGraphicFramePr>
        <xdr:cNvPr id="2" name="Chart 1">
          <a:extLst>
            <a:ext uri="{FF2B5EF4-FFF2-40B4-BE49-F238E27FC236}">
              <a16:creationId xmlns:a16="http://schemas.microsoft.com/office/drawing/2014/main" id="{F6E5E8DA-2861-40FC-B7D0-7CB187A9D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0</xdr:rowOff>
    </xdr:from>
    <xdr:to>
      <xdr:col>12</xdr:col>
      <xdr:colOff>412750</xdr:colOff>
      <xdr:row>42</xdr:row>
      <xdr:rowOff>82550</xdr:rowOff>
    </xdr:to>
    <xdr:graphicFrame macro="">
      <xdr:nvGraphicFramePr>
        <xdr:cNvPr id="3" name="Chart 2">
          <a:extLst>
            <a:ext uri="{FF2B5EF4-FFF2-40B4-BE49-F238E27FC236}">
              <a16:creationId xmlns:a16="http://schemas.microsoft.com/office/drawing/2014/main" id="{50F28119-599A-498A-A818-25C89D9E4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44</xdr:row>
      <xdr:rowOff>0</xdr:rowOff>
    </xdr:from>
    <xdr:to>
      <xdr:col>10</xdr:col>
      <xdr:colOff>504825</xdr:colOff>
      <xdr:row>58</xdr:row>
      <xdr:rowOff>165100</xdr:rowOff>
    </xdr:to>
    <xdr:graphicFrame macro="">
      <xdr:nvGraphicFramePr>
        <xdr:cNvPr id="4" name="Chart 3">
          <a:extLst>
            <a:ext uri="{FF2B5EF4-FFF2-40B4-BE49-F238E27FC236}">
              <a16:creationId xmlns:a16="http://schemas.microsoft.com/office/drawing/2014/main" id="{C6B0796D-5C06-49EB-93D6-69BDDEDC8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60</xdr:row>
      <xdr:rowOff>0</xdr:rowOff>
    </xdr:from>
    <xdr:to>
      <xdr:col>18</xdr:col>
      <xdr:colOff>82550</xdr:colOff>
      <xdr:row>82</xdr:row>
      <xdr:rowOff>88900</xdr:rowOff>
    </xdr:to>
    <xdr:graphicFrame macro="">
      <xdr:nvGraphicFramePr>
        <xdr:cNvPr id="5" name="Chart 4">
          <a:extLst>
            <a:ext uri="{FF2B5EF4-FFF2-40B4-BE49-F238E27FC236}">
              <a16:creationId xmlns:a16="http://schemas.microsoft.com/office/drawing/2014/main" id="{53C61647-1DAF-4DCA-B848-468F6A824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83</xdr:row>
      <xdr:rowOff>0</xdr:rowOff>
    </xdr:from>
    <xdr:to>
      <xdr:col>7</xdr:col>
      <xdr:colOff>304800</xdr:colOff>
      <xdr:row>97</xdr:row>
      <xdr:rowOff>165100</xdr:rowOff>
    </xdr:to>
    <xdr:graphicFrame macro="">
      <xdr:nvGraphicFramePr>
        <xdr:cNvPr id="6" name="Chart 5">
          <a:extLst>
            <a:ext uri="{FF2B5EF4-FFF2-40B4-BE49-F238E27FC236}">
              <a16:creationId xmlns:a16="http://schemas.microsoft.com/office/drawing/2014/main" id="{6987E4A9-1412-4E91-9A0E-E588FF0DE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99</xdr:row>
      <xdr:rowOff>0</xdr:rowOff>
    </xdr:from>
    <xdr:to>
      <xdr:col>9</xdr:col>
      <xdr:colOff>5972</xdr:colOff>
      <xdr:row>120</xdr:row>
      <xdr:rowOff>175877</xdr:rowOff>
    </xdr:to>
    <xdr:graphicFrame macro="">
      <xdr:nvGraphicFramePr>
        <xdr:cNvPr id="7" name="Chart 6">
          <a:extLst>
            <a:ext uri="{FF2B5EF4-FFF2-40B4-BE49-F238E27FC236}">
              <a16:creationId xmlns:a16="http://schemas.microsoft.com/office/drawing/2014/main" id="{22C16BF8-A229-42C1-8902-B4979140E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0.85474</cdr:x>
      <cdr:y>0.46528</cdr:y>
    </cdr:from>
    <cdr:to>
      <cdr:x>0.86436</cdr:x>
      <cdr:y>0.49769</cdr:y>
    </cdr:to>
    <cdr:sp macro="" textlink="">
      <cdr:nvSpPr>
        <cdr:cNvPr id="2" name="Star: 5 Points 1">
          <a:extLst xmlns:a="http://schemas.openxmlformats.org/drawingml/2006/main">
            <a:ext uri="{FF2B5EF4-FFF2-40B4-BE49-F238E27FC236}">
              <a16:creationId xmlns:a16="http://schemas.microsoft.com/office/drawing/2014/main" id="{7036BC71-8927-4289-E7D8-1305F364E17F}"/>
            </a:ext>
          </a:extLst>
        </cdr:cNvPr>
        <cdr:cNvSpPr/>
      </cdr:nvSpPr>
      <cdr:spPr>
        <a:xfrm xmlns:a="http://schemas.openxmlformats.org/drawingml/2006/main">
          <a:off x="5641976" y="1276350"/>
          <a:ext cx="63500" cy="88900"/>
        </a:xfrm>
        <a:prstGeom xmlns:a="http://schemas.openxmlformats.org/drawingml/2006/main" prst="star5">
          <a:avLst/>
        </a:prstGeom>
        <a:solidFill xmlns:a="http://schemas.openxmlformats.org/drawingml/2006/main">
          <a:srgbClr val="FF0000"/>
        </a:solidFill>
        <a:ln xmlns:a="http://schemas.openxmlformats.org/drawingml/2006/main">
          <a:solidFill>
            <a:srgbClr val="FF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IN" kern="12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amna/OneDrive/Desktop/Supplementary%20sheet_2.xlsx" TargetMode="External"/><Relationship Id="rId1" Type="http://schemas.openxmlformats.org/officeDocument/2006/relationships/externalLinkPath" Target="Supplementary%20sheet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quations&amp;Assumptions"/>
      <sheetName val="Intermediate Calculations"/>
      <sheetName val="Analysis-Cost competitiveness"/>
      <sheetName val="CCGT Sensitivity Analysis"/>
      <sheetName val="Charts"/>
      <sheetName val="Annex"/>
    </sheetNames>
    <sheetDataSet>
      <sheetData sheetId="0">
        <row r="16">
          <cell r="B16">
            <v>383</v>
          </cell>
        </row>
        <row r="17">
          <cell r="B17">
            <v>0.56699999999999995</v>
          </cell>
        </row>
        <row r="18">
          <cell r="B18">
            <v>0.56699999999999995</v>
          </cell>
        </row>
        <row r="19">
          <cell r="B19">
            <v>1071000</v>
          </cell>
        </row>
        <row r="20">
          <cell r="B20">
            <v>20</v>
          </cell>
        </row>
        <row r="21">
          <cell r="B21">
            <v>0.35</v>
          </cell>
        </row>
        <row r="24">
          <cell r="B24">
            <v>0.08</v>
          </cell>
        </row>
        <row r="25">
          <cell r="B25">
            <v>1.85</v>
          </cell>
        </row>
        <row r="27">
          <cell r="B27">
            <v>13.4</v>
          </cell>
        </row>
        <row r="28">
          <cell r="B28">
            <v>2.42</v>
          </cell>
        </row>
        <row r="29">
          <cell r="B29">
            <v>50</v>
          </cell>
        </row>
        <row r="31">
          <cell r="B31">
            <v>33.299999999999997</v>
          </cell>
        </row>
        <row r="32">
          <cell r="B32">
            <v>20</v>
          </cell>
        </row>
        <row r="35">
          <cell r="B35">
            <v>13.27</v>
          </cell>
        </row>
        <row r="36">
          <cell r="B36">
            <v>10.7</v>
          </cell>
        </row>
        <row r="37">
          <cell r="B37">
            <v>7.65</v>
          </cell>
        </row>
        <row r="38">
          <cell r="B38">
            <v>9419866</v>
          </cell>
        </row>
        <row r="39">
          <cell r="B39">
            <v>9419866</v>
          </cell>
        </row>
        <row r="40">
          <cell r="B40">
            <v>37459459</v>
          </cell>
        </row>
      </sheetData>
      <sheetData sheetId="1">
        <row r="11">
          <cell r="B11">
            <v>56723390.056723401</v>
          </cell>
        </row>
        <row r="19">
          <cell r="B19">
            <v>140.32627170868349</v>
          </cell>
          <cell r="C19">
            <v>719.53052491204642</v>
          </cell>
          <cell r="D19">
            <v>583.41557398228053</v>
          </cell>
          <cell r="E19">
            <v>421.87837540804497</v>
          </cell>
        </row>
      </sheetData>
      <sheetData sheetId="2"/>
      <sheetData sheetId="3"/>
      <sheetData sheetId="4"/>
      <sheetData sheetId="5">
        <row r="2">
          <cell r="B2" t="str">
            <v>LCOE_NG (NZD/MWh)</v>
          </cell>
          <cell r="C2" t="str">
            <v>LCOE_H2 Conservative (NZD/MWh)</v>
          </cell>
          <cell r="D2" t="str">
            <v>LCOE_H2 Base (NZD/MWh)</v>
          </cell>
          <cell r="E2" t="str">
            <v>LCOE_H2 Optimistic (NZD/MWh)</v>
          </cell>
        </row>
        <row r="3">
          <cell r="A3">
            <v>12</v>
          </cell>
          <cell r="B3">
            <v>89.532600000000002</v>
          </cell>
          <cell r="C3">
            <v>719.53</v>
          </cell>
          <cell r="D3">
            <v>583.41560000000004</v>
          </cell>
          <cell r="E3">
            <v>421.88</v>
          </cell>
        </row>
        <row r="4">
          <cell r="A4">
            <v>15</v>
          </cell>
          <cell r="B4">
            <v>108.5802</v>
          </cell>
          <cell r="C4">
            <v>719.53</v>
          </cell>
          <cell r="D4">
            <v>583.41560000000004</v>
          </cell>
          <cell r="E4">
            <v>421.88</v>
          </cell>
        </row>
        <row r="5">
          <cell r="A5">
            <v>20</v>
          </cell>
          <cell r="B5">
            <v>140.3263</v>
          </cell>
          <cell r="C5">
            <v>719.53</v>
          </cell>
          <cell r="D5">
            <v>583.41560000000004</v>
          </cell>
          <cell r="E5">
            <v>421.88</v>
          </cell>
        </row>
        <row r="6">
          <cell r="A6">
            <v>25</v>
          </cell>
          <cell r="B6">
            <v>172.07230000000001</v>
          </cell>
          <cell r="C6">
            <v>719.53</v>
          </cell>
          <cell r="D6">
            <v>583.41560000000004</v>
          </cell>
          <cell r="E6">
            <v>421.88</v>
          </cell>
        </row>
        <row r="7">
          <cell r="A7">
            <v>30</v>
          </cell>
          <cell r="B7">
            <v>203.81829999999999</v>
          </cell>
          <cell r="C7">
            <v>719.53</v>
          </cell>
          <cell r="D7">
            <v>583.41560000000004</v>
          </cell>
          <cell r="E7">
            <v>421.88</v>
          </cell>
        </row>
        <row r="8">
          <cell r="A8">
            <v>35</v>
          </cell>
          <cell r="B8">
            <v>235.56440000000001</v>
          </cell>
          <cell r="C8">
            <v>719.53</v>
          </cell>
          <cell r="D8">
            <v>583.41560000000004</v>
          </cell>
          <cell r="E8">
            <v>421.88</v>
          </cell>
        </row>
        <row r="9">
          <cell r="A9">
            <v>40</v>
          </cell>
          <cell r="B9">
            <v>267.31040000000002</v>
          </cell>
          <cell r="C9">
            <v>719.53</v>
          </cell>
          <cell r="D9">
            <v>583.41560000000004</v>
          </cell>
          <cell r="E9">
            <v>421.88</v>
          </cell>
        </row>
        <row r="11">
          <cell r="B11" t="str">
            <v>Carbon Price Breakeven (NZD/tCO2) (Base Case)</v>
          </cell>
          <cell r="C11" t="str">
            <v>Carbon Price Breakeven (NZD/tCO2) (Optimistic Case)</v>
          </cell>
          <cell r="D11" t="str">
            <v>NG LCOE including current NZ ETS carbon cost</v>
          </cell>
        </row>
        <row r="12">
          <cell r="A12">
            <v>12</v>
          </cell>
          <cell r="B12">
            <v>1411.0942</v>
          </cell>
          <cell r="C12">
            <v>949.55930000000001</v>
          </cell>
          <cell r="D12">
            <v>112.2826</v>
          </cell>
        </row>
        <row r="13">
          <cell r="A13">
            <v>15</v>
          </cell>
          <cell r="B13">
            <v>1356.6723999999999</v>
          </cell>
          <cell r="C13">
            <v>895.13750000000005</v>
          </cell>
          <cell r="D13">
            <v>131.33019999999999</v>
          </cell>
        </row>
        <row r="14">
          <cell r="A14">
            <v>20</v>
          </cell>
          <cell r="B14">
            <v>1265.9694</v>
          </cell>
          <cell r="C14">
            <v>804.43460000000005</v>
          </cell>
          <cell r="D14">
            <v>163.0763</v>
          </cell>
        </row>
        <row r="15">
          <cell r="A15">
            <v>25</v>
          </cell>
          <cell r="B15">
            <v>1175.2665</v>
          </cell>
          <cell r="C15">
            <v>713.73159999999996</v>
          </cell>
          <cell r="D15">
            <v>194.82230000000001</v>
          </cell>
        </row>
        <row r="16">
          <cell r="A16">
            <v>30</v>
          </cell>
          <cell r="B16">
            <v>1084.5635</v>
          </cell>
          <cell r="C16">
            <v>623.02869999999996</v>
          </cell>
          <cell r="D16">
            <v>226.56829999999999</v>
          </cell>
        </row>
        <row r="17">
          <cell r="A17">
            <v>35</v>
          </cell>
          <cell r="B17">
            <v>993.86059999999998</v>
          </cell>
          <cell r="C17">
            <v>532.32569999999998</v>
          </cell>
          <cell r="D17">
            <v>258.31439999999998</v>
          </cell>
        </row>
        <row r="18">
          <cell r="A18">
            <v>40</v>
          </cell>
          <cell r="B18">
            <v>903.1576</v>
          </cell>
          <cell r="C18">
            <v>441.62279999999998</v>
          </cell>
          <cell r="D18">
            <v>290.06040000000002</v>
          </cell>
        </row>
        <row r="20">
          <cell r="B20" t="str">
            <v>LCOE_NG incl. Carbon Cost (NZD/MWh)</v>
          </cell>
          <cell r="C20" t="str">
            <v>LCOE_H2 Conservative (NZD/MWh)</v>
          </cell>
          <cell r="D20" t="str">
            <v>LCOE_H2 Base (NZD/MWh)</v>
          </cell>
          <cell r="E20" t="str">
            <v>LCOE_H2 Optimistic (NZD/MWh)</v>
          </cell>
        </row>
        <row r="21">
          <cell r="A21">
            <v>65</v>
          </cell>
          <cell r="B21">
            <v>163.0763</v>
          </cell>
          <cell r="C21">
            <v>719.53</v>
          </cell>
          <cell r="D21">
            <v>583.41560000000004</v>
          </cell>
          <cell r="E21">
            <v>421.88</v>
          </cell>
        </row>
        <row r="22">
          <cell r="A22">
            <v>100</v>
          </cell>
          <cell r="B22">
            <v>175.3263</v>
          </cell>
          <cell r="C22">
            <v>719.53</v>
          </cell>
          <cell r="D22">
            <v>583.41560000000004</v>
          </cell>
          <cell r="E22">
            <v>421.88</v>
          </cell>
        </row>
        <row r="23">
          <cell r="A23">
            <v>150</v>
          </cell>
          <cell r="B23">
            <v>192.8263</v>
          </cell>
          <cell r="C23">
            <v>719.53</v>
          </cell>
          <cell r="D23">
            <v>583.41560000000004</v>
          </cell>
          <cell r="E23">
            <v>421.88</v>
          </cell>
        </row>
        <row r="24">
          <cell r="A24">
            <v>200</v>
          </cell>
          <cell r="B24">
            <v>210.3263</v>
          </cell>
          <cell r="C24">
            <v>719.53</v>
          </cell>
          <cell r="D24">
            <v>583.41560000000004</v>
          </cell>
          <cell r="E24">
            <v>421.88</v>
          </cell>
        </row>
        <row r="25">
          <cell r="A25">
            <v>300</v>
          </cell>
          <cell r="B25">
            <v>245.3263</v>
          </cell>
          <cell r="C25">
            <v>719.53</v>
          </cell>
          <cell r="D25">
            <v>583.41560000000004</v>
          </cell>
          <cell r="E25">
            <v>421.88</v>
          </cell>
        </row>
        <row r="26">
          <cell r="A26">
            <v>500</v>
          </cell>
          <cell r="B26">
            <v>315.3263</v>
          </cell>
          <cell r="C26">
            <v>719.53</v>
          </cell>
          <cell r="D26">
            <v>583.41560000000004</v>
          </cell>
          <cell r="E26">
            <v>421.88</v>
          </cell>
        </row>
        <row r="27">
          <cell r="A27">
            <v>1000</v>
          </cell>
          <cell r="B27">
            <v>490.3263</v>
          </cell>
          <cell r="C27">
            <v>719.53</v>
          </cell>
          <cell r="D27">
            <v>583.41560000000004</v>
          </cell>
          <cell r="E27">
            <v>421.88</v>
          </cell>
        </row>
        <row r="29">
          <cell r="B29" t="str">
            <v>Low-Base</v>
          </cell>
          <cell r="C29" t="str">
            <v>High-Base</v>
          </cell>
        </row>
        <row r="30">
          <cell r="A30" t="str">
            <v>LCOH (NZD/kg)</v>
          </cell>
          <cell r="B30">
            <v>-161.53560000000004</v>
          </cell>
          <cell r="C30">
            <v>136.11439999999993</v>
          </cell>
        </row>
        <row r="31">
          <cell r="A31" t="str">
            <v>H2 Efficiency (%)</v>
          </cell>
          <cell r="B31">
            <v>-12.705600000000004</v>
          </cell>
          <cell r="C31">
            <v>17.51439999999991</v>
          </cell>
        </row>
        <row r="32">
          <cell r="A32" t="str">
            <v>Remaining Plant Life (yr)</v>
          </cell>
          <cell r="B32">
            <v>4.3999999999186912E-3</v>
          </cell>
          <cell r="C32">
            <v>1.5643999999999778</v>
          </cell>
        </row>
        <row r="33">
          <cell r="A33" t="str">
            <v>Retrofit Cost (EUR/kWel)</v>
          </cell>
          <cell r="B33">
            <v>2.0244000000000142</v>
          </cell>
          <cell r="C33">
            <v>-1.3455999999999904</v>
          </cell>
        </row>
        <row r="36">
          <cell r="B36" t="str">
            <v>Ahuroa H2 supply as % of TCC total demand</v>
          </cell>
        </row>
        <row r="37">
          <cell r="A37" t="str">
            <v>Base</v>
          </cell>
          <cell r="B37">
            <v>16.606669648235293</v>
          </cell>
        </row>
        <row r="38">
          <cell r="A38" t="str">
            <v>Optimistic</v>
          </cell>
          <cell r="B38">
            <v>66.038822719411755</v>
          </cell>
        </row>
        <row r="41">
          <cell r="B41" t="str">
            <v>LCOH (NZD/kg)</v>
          </cell>
          <cell r="C41" t="str">
            <v>LCOE_H2 (NZD/MWh)</v>
          </cell>
          <cell r="D41" t="str">
            <v>Natural gas LCOE including current NZ ETS carbon cost (NZD/MWh)</v>
          </cell>
        </row>
        <row r="42">
          <cell r="A42" t="str">
            <v>Conservative</v>
          </cell>
          <cell r="B42">
            <v>13.27</v>
          </cell>
          <cell r="C42">
            <v>719.53049999999996</v>
          </cell>
          <cell r="D42">
            <v>163.08000000000001</v>
          </cell>
        </row>
        <row r="43">
          <cell r="A43" t="str">
            <v xml:space="preserve">Base </v>
          </cell>
          <cell r="B43">
            <v>10.7</v>
          </cell>
          <cell r="C43">
            <v>583.41560000000004</v>
          </cell>
          <cell r="D43">
            <v>163.08000000000001</v>
          </cell>
        </row>
        <row r="44">
          <cell r="A44" t="str">
            <v>Optimistic</v>
          </cell>
          <cell r="B44">
            <v>7.65</v>
          </cell>
          <cell r="C44">
            <v>421.8784</v>
          </cell>
          <cell r="D44">
            <v>163.08000000000001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hyperlink" Target="https://tahatu.govt.nz/work/explore-career-ideas/118-energy-and-chemical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41543-19AB-42E0-B0A9-58AE6A783A45}">
  <dimension ref="A1:E30"/>
  <sheetViews>
    <sheetView tabSelected="1" workbookViewId="0">
      <selection activeCell="A19" sqref="A19"/>
    </sheetView>
  </sheetViews>
  <sheetFormatPr baseColWidth="10" defaultColWidth="8.83203125" defaultRowHeight="15" x14ac:dyDescent="0.2"/>
  <cols>
    <col min="1" max="1" width="29.33203125" customWidth="1"/>
    <col min="2" max="2" width="58.5" customWidth="1"/>
  </cols>
  <sheetData>
    <row r="1" spans="1:5" s="104" customFormat="1" x14ac:dyDescent="0.2">
      <c r="A1" s="104" t="s">
        <v>892</v>
      </c>
    </row>
    <row r="2" spans="1:5" s="105" customFormat="1" x14ac:dyDescent="0.2">
      <c r="A2" s="105" t="s">
        <v>893</v>
      </c>
    </row>
    <row r="3" spans="1:5" s="48" customFormat="1" x14ac:dyDescent="0.2">
      <c r="A3" s="48" t="s">
        <v>894</v>
      </c>
    </row>
    <row r="4" spans="1:5" s="48" customFormat="1" x14ac:dyDescent="0.2"/>
    <row r="5" spans="1:5" s="48" customFormat="1" x14ac:dyDescent="0.2"/>
    <row r="6" spans="1:5" s="48" customFormat="1" x14ac:dyDescent="0.2"/>
    <row r="7" spans="1:5" s="48" customFormat="1" x14ac:dyDescent="0.2"/>
    <row r="8" spans="1:5" s="48" customFormat="1" x14ac:dyDescent="0.2"/>
    <row r="9" spans="1:5" s="48" customFormat="1" x14ac:dyDescent="0.2"/>
    <row r="10" spans="1:5" s="48" customFormat="1" x14ac:dyDescent="0.2"/>
    <row r="11" spans="1:5" s="48" customFormat="1" x14ac:dyDescent="0.2"/>
    <row r="12" spans="1:5" s="48" customFormat="1" x14ac:dyDescent="0.2"/>
    <row r="13" spans="1:5" s="17" customFormat="1" x14ac:dyDescent="0.2">
      <c r="A13" s="17" t="s">
        <v>895</v>
      </c>
      <c r="B13" s="17" t="s">
        <v>896</v>
      </c>
    </row>
    <row r="14" spans="1:5" s="73" customFormat="1" x14ac:dyDescent="0.2">
      <c r="A14" s="108" t="s">
        <v>897</v>
      </c>
      <c r="B14" s="73" t="s">
        <v>914</v>
      </c>
      <c r="C14" s="113" t="s">
        <v>933</v>
      </c>
      <c r="D14" s="113"/>
      <c r="E14" s="113"/>
    </row>
    <row r="15" spans="1:5" s="73" customFormat="1" x14ac:dyDescent="0.2">
      <c r="A15" s="108" t="s">
        <v>898</v>
      </c>
      <c r="B15" s="73" t="s">
        <v>915</v>
      </c>
      <c r="C15" s="113"/>
      <c r="D15" s="113"/>
      <c r="E15" s="113"/>
    </row>
    <row r="16" spans="1:5" s="73" customFormat="1" x14ac:dyDescent="0.2">
      <c r="A16" s="108" t="s">
        <v>899</v>
      </c>
      <c r="B16" s="73" t="s">
        <v>916</v>
      </c>
      <c r="C16" s="113"/>
      <c r="D16" s="113"/>
      <c r="E16" s="113"/>
    </row>
    <row r="17" spans="1:5" s="73" customFormat="1" x14ac:dyDescent="0.2">
      <c r="A17" s="108" t="s">
        <v>900</v>
      </c>
      <c r="B17" s="73" t="s">
        <v>917</v>
      </c>
      <c r="C17" s="113"/>
      <c r="D17" s="113"/>
      <c r="E17" s="113"/>
    </row>
    <row r="18" spans="1:5" s="73" customFormat="1" x14ac:dyDescent="0.2">
      <c r="A18" s="108" t="s">
        <v>901</v>
      </c>
      <c r="B18" s="73" t="s">
        <v>918</v>
      </c>
      <c r="C18" s="113"/>
      <c r="D18" s="113"/>
      <c r="E18" s="113"/>
    </row>
    <row r="19" spans="1:5" s="73" customFormat="1" x14ac:dyDescent="0.2">
      <c r="A19" s="108" t="s">
        <v>902</v>
      </c>
      <c r="B19" s="73" t="s">
        <v>919</v>
      </c>
      <c r="C19" s="113"/>
      <c r="D19" s="113"/>
      <c r="E19" s="113"/>
    </row>
    <row r="20" spans="1:5" s="73" customFormat="1" x14ac:dyDescent="0.2">
      <c r="A20" s="108" t="s">
        <v>903</v>
      </c>
      <c r="B20" s="73" t="s">
        <v>920</v>
      </c>
      <c r="C20" s="113"/>
      <c r="D20" s="113"/>
      <c r="E20" s="113"/>
    </row>
    <row r="21" spans="1:5" s="73" customFormat="1" x14ac:dyDescent="0.2">
      <c r="A21" s="108" t="s">
        <v>904</v>
      </c>
      <c r="B21" s="73" t="s">
        <v>921</v>
      </c>
      <c r="C21" s="113"/>
      <c r="D21" s="113"/>
      <c r="E21" s="113"/>
    </row>
    <row r="22" spans="1:5" s="110" customFormat="1" ht="16" thickBot="1" x14ac:dyDescent="0.25">
      <c r="A22" s="109" t="s">
        <v>905</v>
      </c>
      <c r="B22" s="110" t="s">
        <v>922</v>
      </c>
      <c r="C22" s="114"/>
      <c r="D22" s="114"/>
      <c r="E22" s="114"/>
    </row>
    <row r="23" spans="1:5" s="112" customFormat="1" x14ac:dyDescent="0.2">
      <c r="A23" s="111" t="s">
        <v>906</v>
      </c>
      <c r="B23" s="112" t="s">
        <v>923</v>
      </c>
      <c r="C23" s="115" t="s">
        <v>936</v>
      </c>
      <c r="D23" s="115"/>
      <c r="E23" s="115"/>
    </row>
    <row r="24" spans="1:5" s="73" customFormat="1" x14ac:dyDescent="0.2">
      <c r="A24" s="108" t="s">
        <v>907</v>
      </c>
      <c r="B24" s="73" t="s">
        <v>924</v>
      </c>
      <c r="C24" s="113"/>
      <c r="D24" s="113"/>
      <c r="E24" s="113"/>
    </row>
    <row r="25" spans="1:5" s="73" customFormat="1" x14ac:dyDescent="0.2">
      <c r="A25" s="108" t="s">
        <v>908</v>
      </c>
      <c r="B25" s="73" t="s">
        <v>925</v>
      </c>
      <c r="C25" s="113"/>
      <c r="D25" s="113"/>
      <c r="E25" s="113"/>
    </row>
    <row r="26" spans="1:5" s="110" customFormat="1" ht="16" thickBot="1" x14ac:dyDescent="0.25">
      <c r="A26" s="109" t="s">
        <v>909</v>
      </c>
      <c r="B26" s="110" t="s">
        <v>926</v>
      </c>
      <c r="C26" s="114"/>
      <c r="D26" s="114"/>
      <c r="E26" s="114"/>
    </row>
    <row r="27" spans="1:5" s="73" customFormat="1" x14ac:dyDescent="0.2">
      <c r="A27" s="107" t="s">
        <v>910</v>
      </c>
      <c r="B27" s="73" t="s">
        <v>934</v>
      </c>
      <c r="C27" s="115" t="s">
        <v>937</v>
      </c>
      <c r="D27" s="115"/>
      <c r="E27" s="115"/>
    </row>
    <row r="28" spans="1:5" s="73" customFormat="1" x14ac:dyDescent="0.2">
      <c r="A28" s="107" t="s">
        <v>911</v>
      </c>
      <c r="B28" s="73" t="s">
        <v>935</v>
      </c>
      <c r="C28" s="113"/>
      <c r="D28" s="113"/>
      <c r="E28" s="113"/>
    </row>
    <row r="29" spans="1:5" s="73" customFormat="1" x14ac:dyDescent="0.2">
      <c r="A29" s="107" t="s">
        <v>912</v>
      </c>
      <c r="B29" s="73" t="s">
        <v>927</v>
      </c>
      <c r="C29" s="113"/>
      <c r="D29" s="113"/>
      <c r="E29" s="113"/>
    </row>
    <row r="30" spans="1:5" s="110" customFormat="1" ht="16" thickBot="1" x14ac:dyDescent="0.25">
      <c r="A30" s="109" t="s">
        <v>913</v>
      </c>
      <c r="B30" s="110" t="s">
        <v>927</v>
      </c>
      <c r="C30" s="114"/>
      <c r="D30" s="114"/>
      <c r="E30" s="114"/>
    </row>
  </sheetData>
  <mergeCells count="3">
    <mergeCell ref="C14:E22"/>
    <mergeCell ref="C23:E26"/>
    <mergeCell ref="C27:E30"/>
  </mergeCells>
  <hyperlinks>
    <hyperlink ref="A14" location="'S1_LCOH Assumptions'!A1" display="S1_LCOH Assumptions" xr:uid="{9BD38DE7-D03F-4EA0-A1C1-94A4BA57E3D2}"/>
    <hyperlink ref="A15" location="'S2_Storage CAPEX'!A1" display="S2_Storage CAPEX" xr:uid="{C426F0FD-79F5-4834-8DB8-7E1320FB846A}"/>
    <hyperlink ref="A16" location="'S3_Storage OPEX'!A1" display="S3_Storage OPEX" xr:uid="{13607734-4AE0-40D9-8E8C-BE21FCA143F5}"/>
    <hyperlink ref="A17" location="'S4_Electrolyser Assumptions'!A1" display="S4_Electrolyser Assumptions" xr:uid="{AAAA05BE-033D-478C-BE91-78378C7C578E}"/>
    <hyperlink ref="A18" location="'S5_Electrolyser CAPEX'!A1" display="S5_Electrolyser CAPEX" xr:uid="{F6F3514F-AFBE-4238-854A-7D1DDE2C4DE0}"/>
    <hyperlink ref="A19" location="'S6_Electrolyser OPEX'!A1" display="S6_Electrolyser OPEX" xr:uid="{01FF8A7A-69B4-4AA6-A655-001D9F8B81E2}"/>
    <hyperlink ref="A20" location="'S7_LCOH results'!A1" display="S7_LCOH Results" xr:uid="{804AD1AA-D86D-43C6-9032-B5BF1B3A92FE}"/>
    <hyperlink ref="A21" location="'S8_Benchmark comparison'!A1" display="S8_Benchmark Comparison" xr:uid="{6F9C2FF9-A8D1-478D-A1A8-415A8F8121B5}"/>
    <hyperlink ref="A22" location="'S9_LCOH sensitivity'!A1" display="S9_LCOH Sensitivity" xr:uid="{EF6ADAEA-2D3A-4241-871E-0335D3FFFAF2}"/>
    <hyperlink ref="A23" location="'S10_CCGT Assumptions'!A1" display="S10_CCGT Assumptions" xr:uid="{C8A25E2E-C310-47C8-B5A4-8298EE2DBDD8}"/>
    <hyperlink ref="A24" location="'S11_CCGT Calculations'!A1" display="S11_CCGT Calculations" xr:uid="{E693684C-CCB6-49A0-8E90-4B8422AA446A}"/>
    <hyperlink ref="A25" location="'S12_Cost competitiveness'!A1" display="S12_Cost Competitiveness" xr:uid="{915A7AC4-1765-481E-9346-D96E3FFBF86F}"/>
    <hyperlink ref="A26" location="'S13_CCGT Sensitivity'!A1" display="S13_CCGT sensitivity" xr:uid="{69E0295C-7CA6-4DAE-B268-C2877D8C6F4A}"/>
    <hyperlink ref="A27" location="'S14_LCOH Charts'!A1" display="S14_LCOH Charts" xr:uid="{D5E5360F-846D-42A8-B85F-A6F68DF7607B}"/>
    <hyperlink ref="A28" location="'S15_CCGT Charts'!A1" display="S15_CCGT Charts" xr:uid="{FEA43899-CDC5-4347-95A8-41BF69344082}"/>
    <hyperlink ref="A29" location="'S16_Chart Data LCOH'!A1" display="S16_Chart data LCOH" xr:uid="{8B5E7C62-D7E5-4450-8EED-F636119F2708}"/>
    <hyperlink ref="A30" location="'S17_Chart Data CCGT'!A1" display="S17_Chart data CCGT" xr:uid="{AC0D9241-BACD-4904-9AF1-C22747193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63F8-7A60-475F-8A8D-9795C56FD760}">
  <dimension ref="A1:H30"/>
  <sheetViews>
    <sheetView workbookViewId="0"/>
  </sheetViews>
  <sheetFormatPr baseColWidth="10" defaultColWidth="31.1640625" defaultRowHeight="15" x14ac:dyDescent="0.2"/>
  <cols>
    <col min="1" max="2" width="39.6640625" customWidth="1"/>
  </cols>
  <sheetData>
    <row r="1" spans="1:8" s="84" customFormat="1" x14ac:dyDescent="0.2">
      <c r="A1" s="84" t="s">
        <v>631</v>
      </c>
    </row>
    <row r="3" spans="1:8" s="87" customFormat="1" x14ac:dyDescent="0.2">
      <c r="A3" s="32" t="s">
        <v>0</v>
      </c>
      <c r="B3" s="32" t="s">
        <v>649</v>
      </c>
      <c r="C3" s="86" t="s">
        <v>169</v>
      </c>
      <c r="D3" s="32" t="s">
        <v>170</v>
      </c>
      <c r="E3" s="32" t="s">
        <v>171</v>
      </c>
      <c r="F3" s="86" t="s">
        <v>172</v>
      </c>
      <c r="G3" s="32" t="s">
        <v>2</v>
      </c>
      <c r="H3" s="32" t="s">
        <v>229</v>
      </c>
    </row>
    <row r="4" spans="1:8" s="27" customFormat="1" x14ac:dyDescent="0.2">
      <c r="A4" s="27" t="s">
        <v>632</v>
      </c>
      <c r="B4" s="58" t="s">
        <v>113</v>
      </c>
      <c r="C4" s="58">
        <v>70</v>
      </c>
      <c r="D4" s="58">
        <v>100</v>
      </c>
      <c r="E4" s="58">
        <v>150</v>
      </c>
      <c r="F4" s="58">
        <v>250</v>
      </c>
      <c r="G4" s="27" t="s">
        <v>115</v>
      </c>
      <c r="H4" s="27" t="s">
        <v>173</v>
      </c>
    </row>
    <row r="5" spans="1:8" s="73" customFormat="1" x14ac:dyDescent="0.2">
      <c r="A5" s="73" t="s">
        <v>638</v>
      </c>
      <c r="B5" s="88" t="s">
        <v>113</v>
      </c>
      <c r="C5" s="88">
        <v>11.02</v>
      </c>
      <c r="D5" s="88">
        <v>13.27</v>
      </c>
      <c r="E5" s="88">
        <v>17.010000000000002</v>
      </c>
      <c r="F5" s="88">
        <v>24.5</v>
      </c>
      <c r="G5" s="27" t="s">
        <v>115</v>
      </c>
    </row>
    <row r="6" spans="1:8" x14ac:dyDescent="0.2">
      <c r="A6" t="s">
        <v>639</v>
      </c>
      <c r="B6" s="4" t="s">
        <v>113</v>
      </c>
      <c r="C6" s="4">
        <v>8.92</v>
      </c>
      <c r="D6" s="4">
        <v>10.69</v>
      </c>
      <c r="E6" s="4">
        <v>13.65</v>
      </c>
      <c r="F6" s="4">
        <v>19.5</v>
      </c>
      <c r="G6" s="27" t="s">
        <v>115</v>
      </c>
    </row>
    <row r="7" spans="1:8" x14ac:dyDescent="0.2">
      <c r="A7" t="s">
        <v>640</v>
      </c>
      <c r="B7" s="4" t="s">
        <v>113</v>
      </c>
      <c r="C7" s="4">
        <v>5.87</v>
      </c>
      <c r="D7" s="4">
        <v>7.64</v>
      </c>
      <c r="E7" s="4">
        <v>10.6</v>
      </c>
      <c r="F7" s="4">
        <v>16.5</v>
      </c>
      <c r="G7" s="27" t="s">
        <v>115</v>
      </c>
    </row>
    <row r="8" spans="1:8" x14ac:dyDescent="0.2">
      <c r="A8" t="s">
        <v>641</v>
      </c>
      <c r="B8" s="4" t="s">
        <v>113</v>
      </c>
      <c r="C8" s="4">
        <v>2.35</v>
      </c>
      <c r="D8" s="4">
        <v>2.4300000000000002</v>
      </c>
      <c r="E8" s="4">
        <v>2.5499999999999998</v>
      </c>
      <c r="F8" s="4">
        <v>2.79</v>
      </c>
      <c r="G8" s="27" t="s">
        <v>115</v>
      </c>
    </row>
    <row r="9" spans="1:8" x14ac:dyDescent="0.2">
      <c r="A9" t="s">
        <v>642</v>
      </c>
      <c r="B9" s="4" t="s">
        <v>113</v>
      </c>
      <c r="C9" s="4">
        <v>2.14</v>
      </c>
      <c r="D9" s="4">
        <v>2.21</v>
      </c>
      <c r="E9" s="4">
        <v>2.33</v>
      </c>
      <c r="F9" s="4">
        <v>2.58</v>
      </c>
      <c r="G9" s="27" t="s">
        <v>115</v>
      </c>
    </row>
    <row r="10" spans="1:8" x14ac:dyDescent="0.2">
      <c r="A10" t="s">
        <v>643</v>
      </c>
      <c r="B10" s="4" t="s">
        <v>113</v>
      </c>
      <c r="C10" s="4">
        <v>0.66</v>
      </c>
      <c r="D10" s="4">
        <v>0.73</v>
      </c>
      <c r="E10" s="4">
        <v>0.85</v>
      </c>
      <c r="F10" s="4">
        <v>1.1000000000000001</v>
      </c>
      <c r="G10" s="27" t="s">
        <v>115</v>
      </c>
    </row>
    <row r="11" spans="1:8" s="27" customFormat="1" x14ac:dyDescent="0.2">
      <c r="A11" s="27" t="s">
        <v>633</v>
      </c>
      <c r="B11" s="58" t="s">
        <v>113</v>
      </c>
      <c r="C11" s="58">
        <v>2</v>
      </c>
      <c r="D11" s="58">
        <v>8</v>
      </c>
      <c r="E11" s="58">
        <v>10</v>
      </c>
      <c r="F11" s="58" t="s">
        <v>113</v>
      </c>
      <c r="G11" s="27" t="s">
        <v>35</v>
      </c>
      <c r="H11" s="27" t="s">
        <v>174</v>
      </c>
    </row>
    <row r="12" spans="1:8" x14ac:dyDescent="0.2">
      <c r="A12" t="s">
        <v>646</v>
      </c>
      <c r="B12" s="4" t="s">
        <v>113</v>
      </c>
      <c r="C12" s="4">
        <v>11.55</v>
      </c>
      <c r="D12" s="4">
        <v>13.27</v>
      </c>
      <c r="E12" s="4">
        <v>13.94</v>
      </c>
      <c r="F12" s="4" t="s">
        <v>113</v>
      </c>
      <c r="G12" s="27" t="s">
        <v>35</v>
      </c>
    </row>
    <row r="13" spans="1:8" x14ac:dyDescent="0.2">
      <c r="A13" t="s">
        <v>644</v>
      </c>
      <c r="B13" s="4" t="s">
        <v>113</v>
      </c>
      <c r="C13" s="4">
        <v>9.3699999999999992</v>
      </c>
      <c r="D13" s="4">
        <v>10.69</v>
      </c>
      <c r="E13" s="4">
        <v>7.64</v>
      </c>
      <c r="F13" s="4" t="s">
        <v>113</v>
      </c>
      <c r="G13" s="27" t="s">
        <v>35</v>
      </c>
    </row>
    <row r="14" spans="1:8" x14ac:dyDescent="0.2">
      <c r="A14" t="s">
        <v>645</v>
      </c>
      <c r="B14" s="4" t="s">
        <v>113</v>
      </c>
      <c r="C14" s="4">
        <v>7.11</v>
      </c>
      <c r="D14" s="4">
        <v>7.64</v>
      </c>
      <c r="E14" s="4">
        <v>7.85</v>
      </c>
      <c r="F14" s="4" t="s">
        <v>113</v>
      </c>
      <c r="G14" s="27" t="s">
        <v>35</v>
      </c>
    </row>
    <row r="15" spans="1:8" s="27" customFormat="1" x14ac:dyDescent="0.2">
      <c r="A15" s="27" t="s">
        <v>647</v>
      </c>
      <c r="B15" s="58" t="s">
        <v>113</v>
      </c>
      <c r="C15" s="58">
        <v>60</v>
      </c>
      <c r="D15" s="58">
        <v>66</v>
      </c>
      <c r="E15" s="58">
        <v>75</v>
      </c>
      <c r="F15" s="58" t="s">
        <v>113</v>
      </c>
      <c r="G15" s="27" t="s">
        <v>35</v>
      </c>
      <c r="H15" s="27" t="s">
        <v>113</v>
      </c>
    </row>
    <row r="16" spans="1:8" x14ac:dyDescent="0.2">
      <c r="A16" t="s">
        <v>637</v>
      </c>
      <c r="B16" s="4" t="s">
        <v>113</v>
      </c>
      <c r="C16" s="4">
        <v>14.35</v>
      </c>
      <c r="D16" s="4">
        <v>13.27</v>
      </c>
      <c r="E16" s="4">
        <v>11.97</v>
      </c>
      <c r="F16" s="4" t="s">
        <v>113</v>
      </c>
      <c r="G16" s="27" t="s">
        <v>35</v>
      </c>
    </row>
    <row r="17" spans="1:8" x14ac:dyDescent="0.2">
      <c r="A17" t="s">
        <v>644</v>
      </c>
      <c r="B17" s="4" t="s">
        <v>113</v>
      </c>
      <c r="C17" s="4">
        <v>11.54</v>
      </c>
      <c r="D17" s="4">
        <v>10.69</v>
      </c>
      <c r="E17" s="4">
        <v>9.68</v>
      </c>
      <c r="F17" s="4" t="s">
        <v>113</v>
      </c>
      <c r="G17" s="27" t="s">
        <v>35</v>
      </c>
    </row>
    <row r="18" spans="1:8" x14ac:dyDescent="0.2">
      <c r="A18" t="s">
        <v>645</v>
      </c>
      <c r="B18" s="4" t="s">
        <v>113</v>
      </c>
      <c r="C18" s="4">
        <v>8.3379999999999992</v>
      </c>
      <c r="D18" s="4">
        <v>7.6</v>
      </c>
      <c r="E18" s="4">
        <v>6.81</v>
      </c>
      <c r="F18" s="4" t="s">
        <v>113</v>
      </c>
      <c r="G18" s="27" t="s">
        <v>35</v>
      </c>
    </row>
    <row r="19" spans="1:8" s="27" customFormat="1" x14ac:dyDescent="0.2">
      <c r="A19" s="27" t="s">
        <v>648</v>
      </c>
      <c r="B19" s="58">
        <v>2600</v>
      </c>
      <c r="C19" s="58">
        <v>4380</v>
      </c>
      <c r="D19" s="58">
        <v>7000</v>
      </c>
      <c r="E19" s="58">
        <v>8760</v>
      </c>
      <c r="F19" s="58" t="s">
        <v>113</v>
      </c>
      <c r="G19" s="27" t="s">
        <v>651</v>
      </c>
      <c r="H19" s="27" t="s">
        <v>113</v>
      </c>
    </row>
    <row r="20" spans="1:8" s="1" customFormat="1" x14ac:dyDescent="0.2">
      <c r="A20" t="s">
        <v>637</v>
      </c>
      <c r="B20" s="4">
        <v>21.81</v>
      </c>
      <c r="C20" s="4">
        <v>16.87</v>
      </c>
      <c r="D20" s="4">
        <v>14.18</v>
      </c>
      <c r="E20" s="4">
        <v>13.27</v>
      </c>
      <c r="F20" s="85" t="s">
        <v>113</v>
      </c>
      <c r="G20" s="27" t="s">
        <v>651</v>
      </c>
    </row>
    <row r="21" spans="1:8" s="1" customFormat="1" x14ac:dyDescent="0.2">
      <c r="A21" t="s">
        <v>644</v>
      </c>
      <c r="B21" s="4">
        <v>17.38</v>
      </c>
      <c r="C21" s="4">
        <v>13.52</v>
      </c>
      <c r="D21" s="4">
        <v>11.4</v>
      </c>
      <c r="E21" s="4">
        <v>10.69</v>
      </c>
      <c r="F21" s="85" t="s">
        <v>113</v>
      </c>
      <c r="G21" s="27" t="s">
        <v>651</v>
      </c>
    </row>
    <row r="22" spans="1:8" x14ac:dyDescent="0.2">
      <c r="A22" t="s">
        <v>645</v>
      </c>
      <c r="B22" s="4">
        <v>10.61</v>
      </c>
      <c r="C22" s="4">
        <v>8.9</v>
      </c>
      <c r="D22" s="4">
        <v>7.96</v>
      </c>
      <c r="E22" s="4">
        <v>7.6</v>
      </c>
      <c r="F22" s="4" t="s">
        <v>113</v>
      </c>
      <c r="G22" s="27" t="s">
        <v>651</v>
      </c>
    </row>
    <row r="23" spans="1:8" s="27" customFormat="1" x14ac:dyDescent="0.2">
      <c r="A23" s="27" t="s">
        <v>650</v>
      </c>
      <c r="B23" s="58" t="s">
        <v>113</v>
      </c>
      <c r="C23" s="58">
        <v>800</v>
      </c>
      <c r="D23" s="58">
        <v>2160</v>
      </c>
      <c r="E23" s="58">
        <v>3000</v>
      </c>
      <c r="F23" s="58" t="s">
        <v>113</v>
      </c>
      <c r="G23" s="27" t="s">
        <v>652</v>
      </c>
      <c r="H23" s="27" t="s">
        <v>113</v>
      </c>
    </row>
    <row r="24" spans="1:8" s="1" customFormat="1" x14ac:dyDescent="0.2">
      <c r="A24" t="s">
        <v>637</v>
      </c>
      <c r="B24" s="4" t="s">
        <v>113</v>
      </c>
      <c r="C24" s="4">
        <v>11</v>
      </c>
      <c r="D24" s="4">
        <v>13.27</v>
      </c>
      <c r="E24" s="4">
        <v>14.67</v>
      </c>
      <c r="F24" s="85" t="s">
        <v>113</v>
      </c>
      <c r="G24" s="27" t="s">
        <v>652</v>
      </c>
    </row>
    <row r="25" spans="1:8" s="1" customFormat="1" x14ac:dyDescent="0.2">
      <c r="A25" t="s">
        <v>644</v>
      </c>
      <c r="B25" s="4" t="s">
        <v>113</v>
      </c>
      <c r="C25" s="4">
        <v>8.923</v>
      </c>
      <c r="D25" s="4">
        <v>10.69</v>
      </c>
      <c r="E25" s="4">
        <v>9.18</v>
      </c>
      <c r="F25" s="85" t="s">
        <v>113</v>
      </c>
      <c r="G25" s="27" t="s">
        <v>652</v>
      </c>
    </row>
    <row r="26" spans="1:8" x14ac:dyDescent="0.2">
      <c r="A26" t="s">
        <v>645</v>
      </c>
      <c r="B26" s="4" t="s">
        <v>113</v>
      </c>
      <c r="C26" s="4">
        <v>7.64</v>
      </c>
      <c r="D26" s="4">
        <v>7.64</v>
      </c>
      <c r="E26" s="4">
        <v>7.64</v>
      </c>
      <c r="F26" s="4" t="s">
        <v>113</v>
      </c>
      <c r="G26" s="27" t="s">
        <v>652</v>
      </c>
    </row>
    <row r="27" spans="1:8" s="27" customFormat="1" x14ac:dyDescent="0.2">
      <c r="A27" s="27" t="s">
        <v>634</v>
      </c>
      <c r="B27" s="58" t="s">
        <v>113</v>
      </c>
      <c r="C27" s="58">
        <v>0.5</v>
      </c>
      <c r="D27" s="58">
        <v>1</v>
      </c>
      <c r="E27" s="58">
        <v>2</v>
      </c>
      <c r="F27" s="58" t="s">
        <v>113</v>
      </c>
      <c r="G27" s="27" t="s">
        <v>175</v>
      </c>
      <c r="H27" s="27" t="s">
        <v>176</v>
      </c>
    </row>
    <row r="28" spans="1:8" x14ac:dyDescent="0.2">
      <c r="A28" t="s">
        <v>637</v>
      </c>
      <c r="B28" s="4" t="s">
        <v>113</v>
      </c>
      <c r="C28" s="4">
        <v>13.28</v>
      </c>
      <c r="D28" s="4">
        <v>13.27</v>
      </c>
      <c r="E28" s="4">
        <v>13.26</v>
      </c>
      <c r="F28" s="4" t="s">
        <v>113</v>
      </c>
      <c r="G28" s="27" t="s">
        <v>175</v>
      </c>
    </row>
    <row r="29" spans="1:8" x14ac:dyDescent="0.2">
      <c r="A29" t="s">
        <v>644</v>
      </c>
      <c r="B29" s="4" t="s">
        <v>113</v>
      </c>
      <c r="C29" s="4">
        <v>10.64</v>
      </c>
      <c r="D29" s="4">
        <v>10.69</v>
      </c>
      <c r="E29" s="4">
        <v>10.8</v>
      </c>
      <c r="F29" s="4" t="s">
        <v>113</v>
      </c>
      <c r="G29" s="27" t="s">
        <v>175</v>
      </c>
    </row>
    <row r="30" spans="1:8" x14ac:dyDescent="0.2">
      <c r="A30" t="s">
        <v>645</v>
      </c>
      <c r="B30" s="4" t="s">
        <v>113</v>
      </c>
      <c r="C30" s="4">
        <v>7.6</v>
      </c>
      <c r="D30" s="4">
        <v>7.6</v>
      </c>
      <c r="E30" s="4">
        <v>7.72</v>
      </c>
      <c r="F30" s="4" t="s">
        <v>113</v>
      </c>
      <c r="G30" s="27" t="s">
        <v>175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C641-BDBA-492D-A6B5-53ED3E48F57B}">
  <dimension ref="A1:F40"/>
  <sheetViews>
    <sheetView workbookViewId="0"/>
  </sheetViews>
  <sheetFormatPr baseColWidth="10" defaultColWidth="27.83203125" defaultRowHeight="15" x14ac:dyDescent="0.2"/>
  <cols>
    <col min="1" max="1" width="51.5" customWidth="1"/>
    <col min="2" max="2" width="73.6640625" customWidth="1"/>
    <col min="3" max="3" width="110.1640625" customWidth="1"/>
    <col min="4" max="4" width="66.83203125" customWidth="1"/>
    <col min="5" max="5" width="67.33203125" customWidth="1"/>
    <col min="6" max="6" width="162.33203125" customWidth="1"/>
  </cols>
  <sheetData>
    <row r="1" spans="1:6" s="42" customFormat="1" x14ac:dyDescent="0.2">
      <c r="A1" s="42" t="s">
        <v>929</v>
      </c>
    </row>
    <row r="2" spans="1:6" s="43" customFormat="1" x14ac:dyDescent="0.2">
      <c r="A2" s="43" t="s">
        <v>688</v>
      </c>
      <c r="B2" s="43" t="s">
        <v>346</v>
      </c>
      <c r="C2" s="43" t="s">
        <v>689</v>
      </c>
      <c r="D2" s="43" t="s">
        <v>348</v>
      </c>
      <c r="E2" s="43" t="s">
        <v>114</v>
      </c>
    </row>
    <row r="3" spans="1:6" ht="16" x14ac:dyDescent="0.2">
      <c r="A3" s="49" t="s">
        <v>690</v>
      </c>
      <c r="B3" t="s">
        <v>691</v>
      </c>
      <c r="C3" s="41" t="s">
        <v>692</v>
      </c>
      <c r="D3" t="s">
        <v>693</v>
      </c>
      <c r="E3" t="s">
        <v>694</v>
      </c>
    </row>
    <row r="4" spans="1:6" ht="48" x14ac:dyDescent="0.2">
      <c r="A4" s="49" t="s">
        <v>695</v>
      </c>
      <c r="B4" t="s">
        <v>696</v>
      </c>
      <c r="C4" s="41" t="s">
        <v>697</v>
      </c>
      <c r="D4" t="s">
        <v>698</v>
      </c>
      <c r="E4" t="s">
        <v>699</v>
      </c>
    </row>
    <row r="5" spans="1:6" x14ac:dyDescent="0.2">
      <c r="A5" s="49" t="s">
        <v>700</v>
      </c>
      <c r="B5" t="s">
        <v>701</v>
      </c>
      <c r="C5" t="s">
        <v>702</v>
      </c>
      <c r="D5" t="s">
        <v>381</v>
      </c>
      <c r="E5" t="s">
        <v>703</v>
      </c>
    </row>
    <row r="6" spans="1:6" ht="32" x14ac:dyDescent="0.2">
      <c r="A6" s="49" t="s">
        <v>704</v>
      </c>
      <c r="B6" t="s">
        <v>705</v>
      </c>
      <c r="C6" s="41" t="s">
        <v>706</v>
      </c>
      <c r="D6" t="s">
        <v>115</v>
      </c>
      <c r="E6" t="s">
        <v>113</v>
      </c>
    </row>
    <row r="7" spans="1:6" ht="32" x14ac:dyDescent="0.2">
      <c r="A7" s="49" t="s">
        <v>707</v>
      </c>
      <c r="B7" t="s">
        <v>708</v>
      </c>
      <c r="C7" s="41" t="s">
        <v>709</v>
      </c>
      <c r="D7" t="s">
        <v>115</v>
      </c>
      <c r="E7" t="s">
        <v>710</v>
      </c>
    </row>
    <row r="8" spans="1:6" ht="32" x14ac:dyDescent="0.2">
      <c r="A8" s="49" t="s">
        <v>711</v>
      </c>
      <c r="B8" t="s">
        <v>712</v>
      </c>
      <c r="C8" s="41" t="s">
        <v>713</v>
      </c>
      <c r="D8" t="s">
        <v>115</v>
      </c>
      <c r="E8" t="s">
        <v>113</v>
      </c>
    </row>
    <row r="9" spans="1:6" ht="48" x14ac:dyDescent="0.2">
      <c r="A9" s="49" t="s">
        <v>714</v>
      </c>
      <c r="B9" t="s">
        <v>715</v>
      </c>
      <c r="C9" s="41" t="s">
        <v>716</v>
      </c>
      <c r="D9" t="s">
        <v>115</v>
      </c>
      <c r="E9" t="s">
        <v>717</v>
      </c>
    </row>
    <row r="10" spans="1:6" ht="32" x14ac:dyDescent="0.2">
      <c r="A10" s="49" t="s">
        <v>718</v>
      </c>
      <c r="B10" t="s">
        <v>719</v>
      </c>
      <c r="C10" s="41" t="s">
        <v>720</v>
      </c>
      <c r="D10" t="s">
        <v>721</v>
      </c>
      <c r="E10" t="s">
        <v>722</v>
      </c>
    </row>
    <row r="11" spans="1:6" ht="32" x14ac:dyDescent="0.2">
      <c r="A11" s="49" t="s">
        <v>723</v>
      </c>
      <c r="B11" t="s">
        <v>724</v>
      </c>
      <c r="C11" s="41" t="s">
        <v>725</v>
      </c>
      <c r="D11" t="s">
        <v>115</v>
      </c>
      <c r="E11" t="s">
        <v>113</v>
      </c>
    </row>
    <row r="12" spans="1:6" ht="32" x14ac:dyDescent="0.2">
      <c r="A12" s="49" t="s">
        <v>726</v>
      </c>
      <c r="B12" t="s">
        <v>727</v>
      </c>
      <c r="C12" s="41" t="s">
        <v>728</v>
      </c>
      <c r="D12" t="s">
        <v>729</v>
      </c>
      <c r="E12" t="s">
        <v>730</v>
      </c>
    </row>
    <row r="13" spans="1:6" ht="32" x14ac:dyDescent="0.2">
      <c r="A13" s="49" t="s">
        <v>731</v>
      </c>
      <c r="B13" t="s">
        <v>732</v>
      </c>
      <c r="C13" s="41" t="s">
        <v>733</v>
      </c>
      <c r="D13" t="s">
        <v>115</v>
      </c>
      <c r="E13" t="s">
        <v>113</v>
      </c>
    </row>
    <row r="14" spans="1:6" ht="32" x14ac:dyDescent="0.2">
      <c r="A14" s="49" t="s">
        <v>734</v>
      </c>
      <c r="B14" t="s">
        <v>735</v>
      </c>
      <c r="C14" s="41" t="s">
        <v>736</v>
      </c>
      <c r="D14" t="s">
        <v>35</v>
      </c>
      <c r="E14" t="s">
        <v>113</v>
      </c>
    </row>
    <row r="15" spans="1:6" s="42" customFormat="1" x14ac:dyDescent="0.2">
      <c r="A15" s="42" t="s">
        <v>737</v>
      </c>
    </row>
    <row r="16" spans="1:6" x14ac:dyDescent="0.2">
      <c r="A16" s="49" t="s">
        <v>738</v>
      </c>
      <c r="B16" s="89">
        <v>383</v>
      </c>
      <c r="C16" t="s">
        <v>364</v>
      </c>
      <c r="D16" t="s">
        <v>739</v>
      </c>
      <c r="E16" t="s">
        <v>740</v>
      </c>
      <c r="F16" t="s">
        <v>113</v>
      </c>
    </row>
    <row r="17" spans="1:6" x14ac:dyDescent="0.2">
      <c r="A17" s="49" t="s">
        <v>741</v>
      </c>
      <c r="B17" s="89">
        <v>0.56699999999999995</v>
      </c>
      <c r="C17" s="90">
        <v>0.56699999999999995</v>
      </c>
      <c r="D17" t="s">
        <v>739</v>
      </c>
      <c r="E17" t="s">
        <v>742</v>
      </c>
      <c r="F17" t="s">
        <v>743</v>
      </c>
    </row>
    <row r="18" spans="1:6" x14ac:dyDescent="0.2">
      <c r="A18" s="49" t="s">
        <v>744</v>
      </c>
      <c r="B18" s="89">
        <v>0.56699999999999995</v>
      </c>
      <c r="C18" s="90">
        <v>0.56699999999999995</v>
      </c>
      <c r="D18" t="s">
        <v>745</v>
      </c>
      <c r="E18" t="s">
        <v>746</v>
      </c>
      <c r="F18" t="s">
        <v>747</v>
      </c>
    </row>
    <row r="19" spans="1:6" x14ac:dyDescent="0.2">
      <c r="A19" s="49" t="s">
        <v>748</v>
      </c>
      <c r="B19" s="89">
        <v>1071000</v>
      </c>
      <c r="C19" t="s">
        <v>515</v>
      </c>
      <c r="D19" t="s">
        <v>749</v>
      </c>
      <c r="E19" t="s">
        <v>750</v>
      </c>
      <c r="F19" t="s">
        <v>751</v>
      </c>
    </row>
    <row r="20" spans="1:6" x14ac:dyDescent="0.2">
      <c r="A20" s="49" t="s">
        <v>752</v>
      </c>
      <c r="B20" s="89">
        <v>20</v>
      </c>
      <c r="C20" t="s">
        <v>67</v>
      </c>
      <c r="D20" t="s">
        <v>753</v>
      </c>
      <c r="E20" t="s">
        <v>754</v>
      </c>
      <c r="F20" t="s">
        <v>755</v>
      </c>
    </row>
    <row r="21" spans="1:6" x14ac:dyDescent="0.2">
      <c r="A21" s="49" t="s">
        <v>756</v>
      </c>
      <c r="B21" s="89">
        <v>0.35</v>
      </c>
      <c r="C21" t="s">
        <v>757</v>
      </c>
      <c r="D21" t="s">
        <v>758</v>
      </c>
      <c r="E21" t="s">
        <v>759</v>
      </c>
      <c r="F21" t="s">
        <v>113</v>
      </c>
    </row>
    <row r="22" spans="1:6" x14ac:dyDescent="0.2">
      <c r="A22" s="49" t="s">
        <v>760</v>
      </c>
      <c r="B22" s="89">
        <v>0</v>
      </c>
      <c r="C22" t="s">
        <v>757</v>
      </c>
      <c r="D22" t="s">
        <v>761</v>
      </c>
      <c r="E22" t="s">
        <v>762</v>
      </c>
      <c r="F22" t="s">
        <v>763</v>
      </c>
    </row>
    <row r="23" spans="1:6" s="42" customFormat="1" x14ac:dyDescent="0.2">
      <c r="A23" s="42" t="s">
        <v>764</v>
      </c>
    </row>
    <row r="24" spans="1:6" x14ac:dyDescent="0.2">
      <c r="A24" s="49" t="s">
        <v>668</v>
      </c>
      <c r="B24" s="4">
        <v>0.08</v>
      </c>
      <c r="C24" s="91">
        <v>0.08</v>
      </c>
      <c r="D24" t="s">
        <v>765</v>
      </c>
      <c r="E24" t="s">
        <v>766</v>
      </c>
      <c r="F24" t="s">
        <v>767</v>
      </c>
    </row>
    <row r="25" spans="1:6" x14ac:dyDescent="0.2">
      <c r="A25" s="49" t="s">
        <v>768</v>
      </c>
      <c r="B25" s="4">
        <v>1.85</v>
      </c>
      <c r="C25" t="s">
        <v>769</v>
      </c>
      <c r="D25" t="s">
        <v>770</v>
      </c>
      <c r="E25" t="s">
        <v>479</v>
      </c>
      <c r="F25" t="s">
        <v>771</v>
      </c>
    </row>
    <row r="26" spans="1:6" s="42" customFormat="1" x14ac:dyDescent="0.2">
      <c r="A26" s="42" t="s">
        <v>772</v>
      </c>
    </row>
    <row r="27" spans="1:6" x14ac:dyDescent="0.2">
      <c r="A27" s="49" t="s">
        <v>773</v>
      </c>
      <c r="B27" s="4">
        <v>13.4</v>
      </c>
      <c r="C27" t="s">
        <v>774</v>
      </c>
      <c r="D27" t="s">
        <v>775</v>
      </c>
      <c r="E27" t="s">
        <v>776</v>
      </c>
    </row>
    <row r="28" spans="1:6" x14ac:dyDescent="0.2">
      <c r="A28" s="49" t="s">
        <v>777</v>
      </c>
      <c r="B28" s="4">
        <v>2.42</v>
      </c>
      <c r="C28" t="s">
        <v>778</v>
      </c>
      <c r="D28" t="s">
        <v>775</v>
      </c>
      <c r="E28" t="s">
        <v>776</v>
      </c>
    </row>
    <row r="29" spans="1:6" x14ac:dyDescent="0.2">
      <c r="A29" s="49" t="s">
        <v>779</v>
      </c>
      <c r="B29" s="4">
        <v>50</v>
      </c>
      <c r="C29" t="s">
        <v>780</v>
      </c>
      <c r="D29" t="s">
        <v>775</v>
      </c>
      <c r="E29" t="s">
        <v>781</v>
      </c>
    </row>
    <row r="30" spans="1:6" s="42" customFormat="1" x14ac:dyDescent="0.2">
      <c r="A30" s="42" t="s">
        <v>782</v>
      </c>
    </row>
    <row r="31" spans="1:6" x14ac:dyDescent="0.2">
      <c r="A31" s="49" t="s">
        <v>783</v>
      </c>
      <c r="B31" s="4">
        <v>33.299999999999997</v>
      </c>
      <c r="C31" t="s">
        <v>55</v>
      </c>
      <c r="D31" t="s">
        <v>784</v>
      </c>
    </row>
    <row r="32" spans="1:6" x14ac:dyDescent="0.2">
      <c r="A32" s="49" t="s">
        <v>785</v>
      </c>
      <c r="B32" s="4">
        <v>20</v>
      </c>
      <c r="C32" t="s">
        <v>786</v>
      </c>
      <c r="D32" t="s">
        <v>787</v>
      </c>
    </row>
    <row r="33" spans="1:4" x14ac:dyDescent="0.2">
      <c r="A33" s="49" t="s">
        <v>788</v>
      </c>
      <c r="B33" s="4">
        <v>45</v>
      </c>
      <c r="C33" t="s">
        <v>786</v>
      </c>
      <c r="D33" t="s">
        <v>789</v>
      </c>
    </row>
    <row r="34" spans="1:4" s="42" customFormat="1" x14ac:dyDescent="0.2">
      <c r="A34" s="42" t="s">
        <v>790</v>
      </c>
    </row>
    <row r="35" spans="1:4" x14ac:dyDescent="0.2">
      <c r="A35" s="49" t="s">
        <v>791</v>
      </c>
      <c r="B35" s="4">
        <v>13.27</v>
      </c>
      <c r="C35" t="s">
        <v>792</v>
      </c>
    </row>
    <row r="36" spans="1:4" x14ac:dyDescent="0.2">
      <c r="A36" s="49" t="s">
        <v>793</v>
      </c>
      <c r="B36" s="4">
        <v>10.7</v>
      </c>
      <c r="C36" t="s">
        <v>792</v>
      </c>
    </row>
    <row r="37" spans="1:4" x14ac:dyDescent="0.2">
      <c r="A37" s="49" t="s">
        <v>794</v>
      </c>
      <c r="B37" s="4">
        <v>7.65</v>
      </c>
      <c r="C37" t="s">
        <v>792</v>
      </c>
    </row>
    <row r="38" spans="1:4" x14ac:dyDescent="0.2">
      <c r="A38" s="49" t="s">
        <v>795</v>
      </c>
      <c r="B38" s="4">
        <v>9419866</v>
      </c>
      <c r="C38" t="s">
        <v>381</v>
      </c>
    </row>
    <row r="39" spans="1:4" x14ac:dyDescent="0.2">
      <c r="A39" s="49" t="s">
        <v>796</v>
      </c>
      <c r="B39" s="4">
        <v>9419866</v>
      </c>
      <c r="C39" t="s">
        <v>381</v>
      </c>
    </row>
    <row r="40" spans="1:4" x14ac:dyDescent="0.2">
      <c r="A40" s="49" t="s">
        <v>797</v>
      </c>
      <c r="B40" s="4">
        <v>37459459</v>
      </c>
      <c r="C40" t="s">
        <v>381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5D446-B4EE-4AA7-B348-B4A957E0E382}">
  <dimension ref="A1:G20"/>
  <sheetViews>
    <sheetView workbookViewId="0"/>
  </sheetViews>
  <sheetFormatPr baseColWidth="10" defaultColWidth="8.83203125" defaultRowHeight="15" x14ac:dyDescent="0.2"/>
  <cols>
    <col min="1" max="1" width="52.1640625" customWidth="1"/>
    <col min="2" max="2" width="34.5" customWidth="1"/>
    <col min="3" max="3" width="28.5" customWidth="1"/>
    <col min="4" max="4" width="57.6640625" customWidth="1"/>
    <col min="5" max="5" width="39.6640625" customWidth="1"/>
    <col min="6" max="6" width="33" customWidth="1"/>
    <col min="7" max="7" width="22.33203125" customWidth="1"/>
    <col min="8" max="8" width="50.33203125" customWidth="1"/>
  </cols>
  <sheetData>
    <row r="1" spans="1:7" s="38" customFormat="1" x14ac:dyDescent="0.2">
      <c r="A1" s="38" t="s">
        <v>928</v>
      </c>
    </row>
    <row r="2" spans="1:7" s="39" customFormat="1" x14ac:dyDescent="0.2">
      <c r="A2" s="39" t="s">
        <v>0</v>
      </c>
      <c r="B2" s="39" t="s">
        <v>1</v>
      </c>
      <c r="C2" s="39" t="s">
        <v>2</v>
      </c>
      <c r="D2" s="39" t="s">
        <v>3</v>
      </c>
    </row>
    <row r="3" spans="1:7" x14ac:dyDescent="0.2">
      <c r="A3" t="s">
        <v>335</v>
      </c>
      <c r="B3">
        <f>'[1]Equations&amp;Assumptions'!B24*(1+'[1]Equations&amp;Assumptions'!B24)^'[1]Equations&amp;Assumptions'!B20/((1+'[1]Equations&amp;Assumptions'!B24)^'[1]Equations&amp;Assumptions'!B20-1)</f>
        <v>0.10185220882315059</v>
      </c>
      <c r="C3" t="s">
        <v>113</v>
      </c>
      <c r="D3" t="s">
        <v>798</v>
      </c>
    </row>
    <row r="4" spans="1:7" x14ac:dyDescent="0.2">
      <c r="A4" t="s">
        <v>799</v>
      </c>
      <c r="B4">
        <f>'[1]Equations&amp;Assumptions'!B27*'[1]Equations&amp;Assumptions'!B25</f>
        <v>24.790000000000003</v>
      </c>
      <c r="C4" t="s">
        <v>800</v>
      </c>
      <c r="D4" t="s">
        <v>801</v>
      </c>
    </row>
    <row r="5" spans="1:7" x14ac:dyDescent="0.2">
      <c r="A5" t="s">
        <v>802</v>
      </c>
      <c r="B5">
        <f>'[1]Equations&amp;Assumptions'!B28*'[1]Equations&amp;Assumptions'!B25</f>
        <v>4.4770000000000003</v>
      </c>
      <c r="C5" t="s">
        <v>115</v>
      </c>
      <c r="D5" t="s">
        <v>801</v>
      </c>
    </row>
    <row r="6" spans="1:7" x14ac:dyDescent="0.2">
      <c r="A6" t="s">
        <v>803</v>
      </c>
      <c r="B6">
        <f>'[1]Equations&amp;Assumptions'!B16*1000*'[1]Equations&amp;Assumptions'!B29*'[1]Equations&amp;Assumptions'!B25/1000000</f>
        <v>35.427500000000002</v>
      </c>
      <c r="C6" t="s">
        <v>376</v>
      </c>
      <c r="D6" t="s">
        <v>804</v>
      </c>
    </row>
    <row r="7" spans="1:7" x14ac:dyDescent="0.2">
      <c r="A7" t="s">
        <v>805</v>
      </c>
      <c r="B7">
        <f>B6*B3</f>
        <v>3.6083691280821677</v>
      </c>
      <c r="C7" t="s">
        <v>392</v>
      </c>
      <c r="D7" t="s">
        <v>806</v>
      </c>
    </row>
    <row r="8" spans="1:7" x14ac:dyDescent="0.2">
      <c r="A8" t="s">
        <v>807</v>
      </c>
      <c r="B8">
        <f>B7*1000000/'[1]Equations&amp;Assumptions'!B19</f>
        <v>3.3691588497499234</v>
      </c>
      <c r="C8" t="s">
        <v>115</v>
      </c>
      <c r="D8" t="s">
        <v>808</v>
      </c>
    </row>
    <row r="9" spans="1:7" x14ac:dyDescent="0.2">
      <c r="A9" t="s">
        <v>809</v>
      </c>
      <c r="B9">
        <f>3.6/'[1]Equations&amp;Assumptions'!B17</f>
        <v>6.3492063492063497</v>
      </c>
      <c r="C9" t="s">
        <v>693</v>
      </c>
      <c r="D9" t="s">
        <v>810</v>
      </c>
    </row>
    <row r="10" spans="1:7" x14ac:dyDescent="0.2">
      <c r="A10" t="s">
        <v>811</v>
      </c>
      <c r="B10">
        <f>1000/('[1]Equations&amp;Assumptions'!B18*'[1]Equations&amp;Assumptions'!B31)</f>
        <v>52.963015925978901</v>
      </c>
      <c r="C10" t="s">
        <v>812</v>
      </c>
      <c r="D10" t="s">
        <v>813</v>
      </c>
    </row>
    <row r="11" spans="1:7" x14ac:dyDescent="0.2">
      <c r="A11" t="s">
        <v>814</v>
      </c>
      <c r="B11">
        <f>B10*'[1]Equations&amp;Assumptions'!B19</f>
        <v>56723390.056723401</v>
      </c>
      <c r="C11" t="s">
        <v>815</v>
      </c>
      <c r="D11" t="s">
        <v>700</v>
      </c>
    </row>
    <row r="12" spans="1:7" x14ac:dyDescent="0.2">
      <c r="A12" t="s">
        <v>816</v>
      </c>
      <c r="B12">
        <f>B4*'[1]Equations&amp;Assumptions'!B16*1000/'[1]Equations&amp;Assumptions'!B19</f>
        <v>8.8651447245564903</v>
      </c>
      <c r="C12" t="s">
        <v>115</v>
      </c>
      <c r="D12" t="s">
        <v>817</v>
      </c>
    </row>
    <row r="13" spans="1:7" s="38" customFormat="1" x14ac:dyDescent="0.2">
      <c r="A13" s="38" t="s">
        <v>818</v>
      </c>
    </row>
    <row r="14" spans="1:7" s="39" customFormat="1" x14ac:dyDescent="0.2">
      <c r="A14" s="39" t="s">
        <v>819</v>
      </c>
      <c r="B14" s="39" t="s">
        <v>820</v>
      </c>
      <c r="C14" s="39" t="s">
        <v>821</v>
      </c>
      <c r="D14" s="39" t="s">
        <v>822</v>
      </c>
      <c r="E14" s="39" t="s">
        <v>823</v>
      </c>
      <c r="F14" s="39" t="s">
        <v>2</v>
      </c>
      <c r="G14" s="39" t="s">
        <v>3</v>
      </c>
    </row>
    <row r="15" spans="1:7" s="92" customFormat="1" ht="35.5" customHeight="1" x14ac:dyDescent="0.2">
      <c r="A15" s="92" t="s">
        <v>824</v>
      </c>
      <c r="B15" s="92">
        <f>'[1]Equations&amp;Assumptions'!B32*'S11_CCGT Calculations'!B9</f>
        <v>126.98412698412699</v>
      </c>
      <c r="C15" s="92">
        <f>'[1]Equations&amp;Assumptions'!B35*'S11_CCGT Calculations'!B10</f>
        <v>702.81922133774003</v>
      </c>
      <c r="D15" s="92">
        <f>B10*'[1]Equations&amp;Assumptions'!B36</f>
        <v>566.70427040797415</v>
      </c>
      <c r="E15" s="92">
        <f>B10*'[1]Equations&amp;Assumptions'!B37</f>
        <v>405.16707183373859</v>
      </c>
      <c r="F15" s="92" t="s">
        <v>115</v>
      </c>
      <c r="G15" s="92" t="s">
        <v>825</v>
      </c>
    </row>
    <row r="16" spans="1:7" s="92" customFormat="1" ht="35.5" customHeight="1" x14ac:dyDescent="0.2">
      <c r="A16" s="92" t="s">
        <v>826</v>
      </c>
      <c r="B16" s="92">
        <f>$B$4*'[1]Equations&amp;Assumptions'!$B$16*1000/'[1]Equations&amp;Assumptions'!$B$19</f>
        <v>8.8651447245564903</v>
      </c>
      <c r="C16" s="92">
        <f>$B$4*'[1]Equations&amp;Assumptions'!$B$16*1000/'[1]Equations&amp;Assumptions'!$B$19</f>
        <v>8.8651447245564903</v>
      </c>
      <c r="D16" s="92">
        <f>$B$4*'[1]Equations&amp;Assumptions'!$B$16*1000/'[1]Equations&amp;Assumptions'!$B$19</f>
        <v>8.8651447245564903</v>
      </c>
      <c r="E16" s="92">
        <v>8.8651447245564903</v>
      </c>
      <c r="F16" s="92" t="s">
        <v>115</v>
      </c>
      <c r="G16" s="92" t="s">
        <v>827</v>
      </c>
    </row>
    <row r="17" spans="1:7" s="92" customFormat="1" ht="35.5" customHeight="1" x14ac:dyDescent="0.2">
      <c r="A17" s="92" t="s">
        <v>828</v>
      </c>
      <c r="B17" s="92">
        <f>$B$5</f>
        <v>4.4770000000000003</v>
      </c>
      <c r="C17" s="92">
        <f t="shared" ref="C17:E17" si="0">$B$5</f>
        <v>4.4770000000000003</v>
      </c>
      <c r="D17" s="92">
        <f t="shared" si="0"/>
        <v>4.4770000000000003</v>
      </c>
      <c r="E17" s="92">
        <f t="shared" si="0"/>
        <v>4.4770000000000003</v>
      </c>
      <c r="F17" s="92" t="s">
        <v>115</v>
      </c>
      <c r="G17" s="92" t="s">
        <v>827</v>
      </c>
    </row>
    <row r="18" spans="1:7" s="92" customFormat="1" ht="35.5" customHeight="1" x14ac:dyDescent="0.2">
      <c r="A18" s="92" t="s">
        <v>829</v>
      </c>
      <c r="B18" s="92">
        <v>0</v>
      </c>
      <c r="C18" s="92">
        <f>$B$8</f>
        <v>3.3691588497499234</v>
      </c>
      <c r="D18" s="92">
        <f t="shared" ref="D18:E18" si="1">$B$8</f>
        <v>3.3691588497499234</v>
      </c>
      <c r="E18" s="92">
        <f t="shared" si="1"/>
        <v>3.3691588497499234</v>
      </c>
      <c r="F18" s="92" t="s">
        <v>115</v>
      </c>
      <c r="G18" s="92" t="s">
        <v>830</v>
      </c>
    </row>
    <row r="19" spans="1:7" s="93" customFormat="1" ht="35.5" customHeight="1" x14ac:dyDescent="0.2">
      <c r="A19" s="93" t="s">
        <v>831</v>
      </c>
      <c r="B19" s="93">
        <f>SUM(B15:B18)</f>
        <v>140.32627170868349</v>
      </c>
      <c r="C19" s="93">
        <f t="shared" ref="C19:E19" si="2">SUM(C15:C18)</f>
        <v>719.53052491204642</v>
      </c>
      <c r="D19" s="93">
        <f t="shared" si="2"/>
        <v>583.41557398228053</v>
      </c>
      <c r="E19" s="93">
        <f t="shared" si="2"/>
        <v>421.87837540804497</v>
      </c>
      <c r="F19" s="93" t="s">
        <v>115</v>
      </c>
      <c r="G19" s="93" t="s">
        <v>714</v>
      </c>
    </row>
    <row r="20" spans="1:7" s="93" customFormat="1" ht="35.5" customHeight="1" x14ac:dyDescent="0.2">
      <c r="A20" s="93" t="s">
        <v>832</v>
      </c>
      <c r="B20" s="93">
        <f>B19/1000</f>
        <v>0.1403262717086835</v>
      </c>
      <c r="C20" s="93">
        <f t="shared" ref="C20:E20" si="3">C19/1000</f>
        <v>0.71953052491204639</v>
      </c>
      <c r="D20" s="93">
        <f t="shared" si="3"/>
        <v>0.5834155739822805</v>
      </c>
      <c r="E20" s="93">
        <f t="shared" si="3"/>
        <v>0.42187837540804496</v>
      </c>
      <c r="F20" s="93" t="s">
        <v>572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BAD2-7C6B-4E90-812F-A3FA6674F816}">
  <dimension ref="A1:H7"/>
  <sheetViews>
    <sheetView workbookViewId="0"/>
  </sheetViews>
  <sheetFormatPr baseColWidth="10" defaultColWidth="38.6640625" defaultRowHeight="15" x14ac:dyDescent="0.2"/>
  <cols>
    <col min="2" max="2" width="46.5" customWidth="1"/>
    <col min="8" max="8" width="124.83203125" customWidth="1"/>
  </cols>
  <sheetData>
    <row r="1" spans="1:8" s="55" customFormat="1" x14ac:dyDescent="0.2">
      <c r="A1" s="55" t="s">
        <v>833</v>
      </c>
    </row>
    <row r="2" spans="1:8" s="27" customFormat="1" x14ac:dyDescent="0.2">
      <c r="A2" s="27" t="s">
        <v>834</v>
      </c>
      <c r="B2" s="27" t="s">
        <v>345</v>
      </c>
      <c r="C2" s="27" t="s">
        <v>820</v>
      </c>
      <c r="D2" s="27" t="s">
        <v>542</v>
      </c>
      <c r="E2" s="27" t="s">
        <v>543</v>
      </c>
      <c r="F2" s="27" t="s">
        <v>544</v>
      </c>
      <c r="G2" s="27" t="s">
        <v>2</v>
      </c>
      <c r="H2" s="27" t="s">
        <v>532</v>
      </c>
    </row>
    <row r="3" spans="1:8" s="95" customFormat="1" ht="52.5" customHeight="1" x14ac:dyDescent="0.2">
      <c r="A3" s="94" t="s">
        <v>835</v>
      </c>
      <c r="B3" s="95" t="s">
        <v>836</v>
      </c>
      <c r="C3" s="95" t="s">
        <v>113</v>
      </c>
      <c r="D3" s="95">
        <f>'[1]Intermediate Calculations'!C19-'[1]Intermediate Calculations'!$B$19</f>
        <v>579.2042532033629</v>
      </c>
      <c r="E3" s="95">
        <f>'[1]Intermediate Calculations'!D19-'[1]Intermediate Calculations'!$B$19</f>
        <v>443.08930227359701</v>
      </c>
      <c r="F3" s="95">
        <f>'[1]Intermediate Calculations'!E19-'[1]Intermediate Calculations'!$B$19</f>
        <v>281.55210369936151</v>
      </c>
      <c r="G3" s="95" t="s">
        <v>115</v>
      </c>
      <c r="H3" s="95" t="s">
        <v>837</v>
      </c>
    </row>
    <row r="4" spans="1:8" s="95" customFormat="1" ht="52.5" customHeight="1" x14ac:dyDescent="0.2">
      <c r="A4" s="94" t="s">
        <v>838</v>
      </c>
      <c r="B4" s="95" t="s">
        <v>839</v>
      </c>
      <c r="C4" s="95" t="s">
        <v>113</v>
      </c>
      <c r="D4" s="95">
        <f>'[1]Equations&amp;Assumptions'!B38/'[1]Intermediate Calculations'!$B$11*100</f>
        <v>16.606669648235293</v>
      </c>
      <c r="E4" s="95">
        <f>'[1]Equations&amp;Assumptions'!B39/'[1]Intermediate Calculations'!$B$11*100</f>
        <v>16.606669648235293</v>
      </c>
      <c r="F4" s="95">
        <f>'[1]Equations&amp;Assumptions'!B40/'[1]Intermediate Calculations'!$B$11*100</f>
        <v>66.038822719411755</v>
      </c>
      <c r="G4" s="95" t="s">
        <v>35</v>
      </c>
      <c r="H4" s="96" t="s">
        <v>840</v>
      </c>
    </row>
    <row r="5" spans="1:8" s="95" customFormat="1" ht="52.5" customHeight="1" x14ac:dyDescent="0.2">
      <c r="A5" s="94" t="s">
        <v>841</v>
      </c>
      <c r="B5" s="95" t="s">
        <v>842</v>
      </c>
      <c r="C5" s="95" t="s">
        <v>113</v>
      </c>
      <c r="D5" s="95">
        <f>D3/'[1]Equations&amp;Assumptions'!$B$21</f>
        <v>1654.8692948667513</v>
      </c>
      <c r="E5" s="95">
        <f>E3/'[1]Equations&amp;Assumptions'!$B$21</f>
        <v>1265.9694350674201</v>
      </c>
      <c r="F5" s="95">
        <f>F3/'[1]Equations&amp;Assumptions'!$B$21</f>
        <v>804.43458199817576</v>
      </c>
      <c r="G5" s="95" t="s">
        <v>729</v>
      </c>
      <c r="H5" s="95" t="s">
        <v>843</v>
      </c>
    </row>
    <row r="6" spans="1:8" s="95" customFormat="1" ht="52.5" customHeight="1" x14ac:dyDescent="0.2">
      <c r="A6" s="94" t="s">
        <v>844</v>
      </c>
      <c r="B6" s="95" t="s">
        <v>845</v>
      </c>
      <c r="C6" s="95">
        <v>65</v>
      </c>
      <c r="D6" s="95" t="s">
        <v>113</v>
      </c>
      <c r="E6" s="95" t="s">
        <v>113</v>
      </c>
      <c r="F6" s="95" t="s">
        <v>113</v>
      </c>
      <c r="G6" s="95" t="s">
        <v>729</v>
      </c>
      <c r="H6" s="95" t="s">
        <v>846</v>
      </c>
    </row>
    <row r="7" spans="1:8" s="95" customFormat="1" ht="52.5" customHeight="1" x14ac:dyDescent="0.2">
      <c r="A7" s="94" t="s">
        <v>847</v>
      </c>
      <c r="B7" s="95" t="s">
        <v>848</v>
      </c>
      <c r="C7" s="95">
        <f>'[1]Intermediate Calculations'!B19+'[1]Equations&amp;Assumptions'!B21*'S12_Cost competitiveness'!C6</f>
        <v>163.07627170868349</v>
      </c>
      <c r="D7" s="95" t="s">
        <v>113</v>
      </c>
      <c r="E7" s="95" t="s">
        <v>113</v>
      </c>
      <c r="F7" s="95" t="s">
        <v>113</v>
      </c>
      <c r="G7" s="95" t="s">
        <v>115</v>
      </c>
      <c r="H7" s="95" t="s">
        <v>849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3EAD-CAC0-4321-A446-60F7748B25DA}">
  <dimension ref="A1:L39"/>
  <sheetViews>
    <sheetView zoomScale="96" workbookViewId="0"/>
  </sheetViews>
  <sheetFormatPr baseColWidth="10" defaultColWidth="29.6640625" defaultRowHeight="15" x14ac:dyDescent="0.2"/>
  <cols>
    <col min="2" max="2" width="50.6640625" customWidth="1"/>
    <col min="4" max="4" width="61.1640625" customWidth="1"/>
    <col min="5" max="5" width="34.5" customWidth="1"/>
    <col min="6" max="6" width="42" customWidth="1"/>
    <col min="7" max="7" width="48.1640625" customWidth="1"/>
    <col min="9" max="9" width="35" customWidth="1"/>
    <col min="10" max="10" width="52.6640625" customWidth="1"/>
    <col min="11" max="11" width="51.83203125" customWidth="1"/>
    <col min="12" max="12" width="51.5" customWidth="1"/>
  </cols>
  <sheetData>
    <row r="1" spans="1:12" s="97" customFormat="1" x14ac:dyDescent="0.2">
      <c r="A1" s="97" t="s">
        <v>930</v>
      </c>
    </row>
    <row r="2" spans="1:12" x14ac:dyDescent="0.2">
      <c r="A2" s="70" t="s">
        <v>850</v>
      </c>
    </row>
    <row r="3" spans="1:12" s="2" customFormat="1" x14ac:dyDescent="0.2">
      <c r="A3" s="2" t="s">
        <v>851</v>
      </c>
      <c r="B3" s="2" t="s">
        <v>852</v>
      </c>
      <c r="C3" s="2" t="s">
        <v>853</v>
      </c>
      <c r="D3" s="2" t="s">
        <v>854</v>
      </c>
      <c r="E3" s="2" t="s">
        <v>855</v>
      </c>
      <c r="F3" s="2" t="s">
        <v>856</v>
      </c>
      <c r="G3" s="2" t="s">
        <v>857</v>
      </c>
      <c r="H3" s="98" t="s">
        <v>847</v>
      </c>
    </row>
    <row r="4" spans="1:12" x14ac:dyDescent="0.2">
      <c r="A4">
        <v>12</v>
      </c>
      <c r="B4" s="99">
        <v>89.532600000000002</v>
      </c>
      <c r="C4" s="99">
        <v>583.41560000000004</v>
      </c>
      <c r="D4" s="99">
        <v>493.88299999999998</v>
      </c>
      <c r="E4" s="99">
        <v>332.3458</v>
      </c>
      <c r="F4" s="99">
        <v>1411.0942</v>
      </c>
      <c r="G4" s="99">
        <v>949.55930000000001</v>
      </c>
      <c r="H4" s="99">
        <v>112.2826</v>
      </c>
    </row>
    <row r="5" spans="1:12" x14ac:dyDescent="0.2">
      <c r="A5">
        <v>15</v>
      </c>
      <c r="B5" s="99">
        <v>108.5802</v>
      </c>
      <c r="C5" s="99">
        <v>583.41560000000004</v>
      </c>
      <c r="D5" s="99">
        <v>474.83530000000002</v>
      </c>
      <c r="E5" s="99">
        <v>313.29809999999998</v>
      </c>
      <c r="F5" s="99">
        <v>1356.6723999999999</v>
      </c>
      <c r="G5" s="99">
        <v>895.13750000000005</v>
      </c>
      <c r="H5" s="99">
        <v>131.33019999999999</v>
      </c>
    </row>
    <row r="6" spans="1:12" x14ac:dyDescent="0.2">
      <c r="A6">
        <v>20</v>
      </c>
      <c r="B6" s="99">
        <v>140.3263</v>
      </c>
      <c r="C6" s="99">
        <v>583.41560000000004</v>
      </c>
      <c r="D6" s="99">
        <v>443.08929999999998</v>
      </c>
      <c r="E6" s="99">
        <v>281.5521</v>
      </c>
      <c r="F6" s="99">
        <v>1265.9694</v>
      </c>
      <c r="G6" s="99">
        <v>804.43460000000005</v>
      </c>
      <c r="H6" s="99">
        <v>163.0763</v>
      </c>
    </row>
    <row r="7" spans="1:12" x14ac:dyDescent="0.2">
      <c r="A7">
        <v>25</v>
      </c>
      <c r="B7" s="99">
        <v>172.07230000000001</v>
      </c>
      <c r="C7" s="99">
        <v>583.41560000000004</v>
      </c>
      <c r="D7" s="99">
        <v>411.3433</v>
      </c>
      <c r="E7" s="99">
        <v>249.80609999999999</v>
      </c>
      <c r="F7" s="99">
        <v>1175.2665</v>
      </c>
      <c r="G7" s="99">
        <v>713.73159999999996</v>
      </c>
      <c r="H7" s="99">
        <v>194.82230000000001</v>
      </c>
    </row>
    <row r="8" spans="1:12" x14ac:dyDescent="0.2">
      <c r="A8">
        <v>30</v>
      </c>
      <c r="B8" s="99">
        <v>203.81829999999999</v>
      </c>
      <c r="C8" s="99">
        <v>583.41560000000004</v>
      </c>
      <c r="D8" s="99">
        <v>379.59719999999999</v>
      </c>
      <c r="E8" s="99">
        <v>218.06</v>
      </c>
      <c r="F8" s="99">
        <v>1084.5635</v>
      </c>
      <c r="G8" s="99">
        <v>623.02869999999996</v>
      </c>
      <c r="H8" s="99">
        <v>226.56829999999999</v>
      </c>
    </row>
    <row r="9" spans="1:12" x14ac:dyDescent="0.2">
      <c r="A9">
        <v>35</v>
      </c>
      <c r="B9" s="99">
        <v>235.56440000000001</v>
      </c>
      <c r="C9" s="99">
        <v>583.41560000000004</v>
      </c>
      <c r="D9" s="99">
        <v>347.85120000000001</v>
      </c>
      <c r="E9" s="99">
        <v>186.31399999999999</v>
      </c>
      <c r="F9" s="99">
        <v>993.86059999999998</v>
      </c>
      <c r="G9" s="99">
        <v>532.32569999999998</v>
      </c>
      <c r="H9" s="99">
        <v>258.31439999999998</v>
      </c>
    </row>
    <row r="10" spans="1:12" x14ac:dyDescent="0.2">
      <c r="A10">
        <v>40</v>
      </c>
      <c r="B10" s="99">
        <v>267.31040000000002</v>
      </c>
      <c r="C10" s="99">
        <v>583.41560000000004</v>
      </c>
      <c r="D10" s="99">
        <v>316.10520000000002</v>
      </c>
      <c r="E10" s="99">
        <v>154.56800000000001</v>
      </c>
      <c r="F10" s="99">
        <v>903.1576</v>
      </c>
      <c r="G10" s="99">
        <v>441.62279999999998</v>
      </c>
      <c r="H10" s="99">
        <v>290.06040000000002</v>
      </c>
    </row>
    <row r="11" spans="1:12" x14ac:dyDescent="0.2">
      <c r="A11" s="70" t="s">
        <v>858</v>
      </c>
    </row>
    <row r="12" spans="1:12" s="2" customFormat="1" x14ac:dyDescent="0.2">
      <c r="A12" s="2" t="s">
        <v>859</v>
      </c>
      <c r="B12" s="2" t="s">
        <v>860</v>
      </c>
      <c r="C12" s="2" t="s">
        <v>861</v>
      </c>
      <c r="D12" s="2" t="s">
        <v>862</v>
      </c>
      <c r="E12" s="2" t="s">
        <v>853</v>
      </c>
      <c r="F12" s="2" t="s">
        <v>863</v>
      </c>
      <c r="G12" s="2" t="s">
        <v>864</v>
      </c>
      <c r="H12" s="2" t="s">
        <v>854</v>
      </c>
      <c r="I12" s="2" t="s">
        <v>855</v>
      </c>
      <c r="J12" s="2" t="s">
        <v>865</v>
      </c>
      <c r="K12" s="2" t="s">
        <v>856</v>
      </c>
      <c r="L12" s="2" t="s">
        <v>857</v>
      </c>
    </row>
    <row r="13" spans="1:12" x14ac:dyDescent="0.2">
      <c r="A13">
        <v>30</v>
      </c>
      <c r="B13" s="99">
        <v>21.256499999999999</v>
      </c>
      <c r="C13" s="99">
        <v>2.0215000000000001</v>
      </c>
      <c r="D13" s="99">
        <v>718.18290000000002</v>
      </c>
      <c r="E13" s="99">
        <v>582.06790000000001</v>
      </c>
      <c r="F13" s="99">
        <v>420.53070000000002</v>
      </c>
      <c r="G13" s="99">
        <v>577.85659999999996</v>
      </c>
      <c r="H13" s="99">
        <v>441.74160000000001</v>
      </c>
      <c r="I13" s="99">
        <v>280.20440000000002</v>
      </c>
      <c r="J13" s="99">
        <v>1651.0188000000001</v>
      </c>
      <c r="K13" s="99">
        <v>1262.1189999999999</v>
      </c>
      <c r="L13" s="99">
        <v>800.58410000000003</v>
      </c>
    </row>
    <row r="14" spans="1:12" x14ac:dyDescent="0.2">
      <c r="A14">
        <v>50</v>
      </c>
      <c r="B14" s="99">
        <v>35.427500000000002</v>
      </c>
      <c r="C14" s="99">
        <v>3.3692000000000002</v>
      </c>
      <c r="D14" s="99">
        <v>719.53049999999996</v>
      </c>
      <c r="E14" s="99">
        <v>583.41560000000004</v>
      </c>
      <c r="F14" s="99">
        <v>421.8784</v>
      </c>
      <c r="G14" s="99">
        <v>579.20429999999999</v>
      </c>
      <c r="H14" s="99">
        <v>443.08929999999998</v>
      </c>
      <c r="I14" s="99">
        <v>281.5521</v>
      </c>
      <c r="J14" s="99">
        <v>1654.8693000000001</v>
      </c>
      <c r="K14" s="99">
        <v>1265.9694</v>
      </c>
      <c r="L14" s="99">
        <v>804.43460000000005</v>
      </c>
    </row>
    <row r="15" spans="1:12" x14ac:dyDescent="0.2">
      <c r="A15">
        <v>80</v>
      </c>
      <c r="B15" s="99">
        <v>56.683999999999997</v>
      </c>
      <c r="C15" s="99">
        <v>5.3906999999999998</v>
      </c>
      <c r="D15" s="99">
        <v>721.55200000000002</v>
      </c>
      <c r="E15" s="99">
        <v>585.43709999999999</v>
      </c>
      <c r="F15" s="99">
        <v>423.8999</v>
      </c>
      <c r="G15" s="99">
        <v>581.22569999999996</v>
      </c>
      <c r="H15" s="99">
        <v>445.11079999999998</v>
      </c>
      <c r="I15" s="99">
        <v>283.5736</v>
      </c>
      <c r="J15" s="99">
        <v>1660.645</v>
      </c>
      <c r="K15" s="99">
        <v>1271.7451000000001</v>
      </c>
      <c r="L15" s="99">
        <v>810.21029999999996</v>
      </c>
    </row>
    <row r="16" spans="1:12" x14ac:dyDescent="0.2">
      <c r="A16" s="70" t="s">
        <v>866</v>
      </c>
    </row>
    <row r="17" spans="1:12" s="2" customFormat="1" x14ac:dyDescent="0.2">
      <c r="A17" s="2" t="s">
        <v>867</v>
      </c>
      <c r="B17" s="2" t="s">
        <v>27</v>
      </c>
      <c r="C17" s="2" t="s">
        <v>861</v>
      </c>
      <c r="D17" s="2" t="s">
        <v>862</v>
      </c>
      <c r="E17" s="2" t="s">
        <v>853</v>
      </c>
      <c r="F17" s="2" t="s">
        <v>863</v>
      </c>
      <c r="G17" s="2" t="s">
        <v>864</v>
      </c>
      <c r="H17" s="2" t="s">
        <v>854</v>
      </c>
      <c r="I17" s="2" t="s">
        <v>855</v>
      </c>
      <c r="J17" s="2" t="s">
        <v>865</v>
      </c>
      <c r="K17" s="2" t="s">
        <v>856</v>
      </c>
      <c r="L17" s="2" t="s">
        <v>857</v>
      </c>
    </row>
    <row r="18" spans="1:12" x14ac:dyDescent="0.2">
      <c r="A18">
        <v>10</v>
      </c>
      <c r="B18" s="100">
        <v>0.14899999999999999</v>
      </c>
      <c r="C18" s="99">
        <v>4.9297000000000004</v>
      </c>
      <c r="D18" s="99">
        <v>721.09109999999998</v>
      </c>
      <c r="E18" s="99">
        <v>584.97609999999997</v>
      </c>
      <c r="F18" s="99">
        <v>423.43889999999999</v>
      </c>
      <c r="G18" s="99">
        <v>580.76480000000004</v>
      </c>
      <c r="H18" s="99">
        <v>444.6499</v>
      </c>
      <c r="I18" s="99">
        <v>283.11270000000002</v>
      </c>
      <c r="J18" s="99">
        <v>1659.3280999999999</v>
      </c>
      <c r="K18" s="99">
        <v>1270.4282000000001</v>
      </c>
      <c r="L18" s="99">
        <v>808.89340000000004</v>
      </c>
    </row>
    <row r="19" spans="1:12" x14ac:dyDescent="0.2">
      <c r="A19">
        <v>15</v>
      </c>
      <c r="B19" s="100">
        <v>0.1168</v>
      </c>
      <c r="C19" s="99">
        <v>3.8645999999999998</v>
      </c>
      <c r="D19" s="99">
        <v>720.02599999999995</v>
      </c>
      <c r="E19" s="99">
        <v>583.91099999999994</v>
      </c>
      <c r="F19" s="99">
        <v>422.37380000000002</v>
      </c>
      <c r="G19" s="99">
        <v>579.69970000000001</v>
      </c>
      <c r="H19" s="99">
        <v>443.5847</v>
      </c>
      <c r="I19" s="99">
        <v>282.04750000000001</v>
      </c>
      <c r="J19" s="99">
        <v>1656.2847999999999</v>
      </c>
      <c r="K19" s="99">
        <v>1267.385</v>
      </c>
      <c r="L19" s="99">
        <v>805.8501</v>
      </c>
    </row>
    <row r="20" spans="1:12" x14ac:dyDescent="0.2">
      <c r="A20">
        <v>20</v>
      </c>
      <c r="B20" s="100">
        <v>0.1019</v>
      </c>
      <c r="C20" s="99">
        <v>3.3692000000000002</v>
      </c>
      <c r="D20" s="99">
        <v>719.53049999999996</v>
      </c>
      <c r="E20" s="99">
        <v>583.41560000000004</v>
      </c>
      <c r="F20" s="99">
        <v>421.8784</v>
      </c>
      <c r="G20" s="99">
        <v>579.20429999999999</v>
      </c>
      <c r="H20" s="99">
        <v>443.08929999999998</v>
      </c>
      <c r="I20" s="99">
        <v>281.5521</v>
      </c>
      <c r="J20" s="99">
        <v>1654.8693000000001</v>
      </c>
      <c r="K20" s="99">
        <v>1265.9694</v>
      </c>
      <c r="L20" s="99">
        <v>804.43460000000005</v>
      </c>
    </row>
    <row r="21" spans="1:12" x14ac:dyDescent="0.2">
      <c r="A21" s="70" t="s">
        <v>868</v>
      </c>
    </row>
    <row r="22" spans="1:12" s="2" customFormat="1" x14ac:dyDescent="0.2">
      <c r="A22" s="2" t="s">
        <v>869</v>
      </c>
      <c r="B22" s="2" t="s">
        <v>870</v>
      </c>
      <c r="C22" s="2" t="s">
        <v>871</v>
      </c>
      <c r="D22" s="2" t="s">
        <v>862</v>
      </c>
      <c r="E22" s="2" t="s">
        <v>853</v>
      </c>
      <c r="F22" s="2" t="s">
        <v>863</v>
      </c>
      <c r="G22" s="2" t="s">
        <v>864</v>
      </c>
      <c r="H22" s="2" t="s">
        <v>854</v>
      </c>
      <c r="I22" s="2" t="s">
        <v>855</v>
      </c>
      <c r="J22" s="2" t="s">
        <v>865</v>
      </c>
      <c r="K22" s="2" t="s">
        <v>856</v>
      </c>
      <c r="L22" s="2" t="s">
        <v>857</v>
      </c>
    </row>
    <row r="23" spans="1:12" x14ac:dyDescent="0.2">
      <c r="A23" s="101">
        <v>0.55000000000000004</v>
      </c>
      <c r="B23" s="99">
        <v>54.600099999999998</v>
      </c>
      <c r="C23" s="99">
        <v>584.22059999999999</v>
      </c>
      <c r="D23" s="99">
        <v>741.25400000000002</v>
      </c>
      <c r="E23" s="99">
        <v>600.93190000000004</v>
      </c>
      <c r="F23" s="99">
        <v>434.40170000000001</v>
      </c>
      <c r="G23" s="99">
        <v>600.92780000000005</v>
      </c>
      <c r="H23" s="99">
        <v>460.60559999999998</v>
      </c>
      <c r="I23" s="99">
        <v>294.0754</v>
      </c>
      <c r="J23" s="99">
        <v>1716.9364</v>
      </c>
      <c r="K23" s="99">
        <v>1316.0160000000001</v>
      </c>
      <c r="L23" s="99">
        <v>840.21559999999999</v>
      </c>
    </row>
    <row r="24" spans="1:12" x14ac:dyDescent="0.2">
      <c r="A24" s="101">
        <v>0.56000000000000005</v>
      </c>
      <c r="B24" s="99">
        <v>53.625100000000003</v>
      </c>
      <c r="C24" s="99">
        <v>573.78809999999999</v>
      </c>
      <c r="D24" s="99">
        <v>728.31579999999997</v>
      </c>
      <c r="E24" s="99">
        <v>590.49940000000004</v>
      </c>
      <c r="F24" s="99">
        <v>426.94299999999998</v>
      </c>
      <c r="G24" s="99">
        <v>587.98950000000002</v>
      </c>
      <c r="H24" s="99">
        <v>450.17309999999998</v>
      </c>
      <c r="I24" s="99">
        <v>286.61669999999998</v>
      </c>
      <c r="J24" s="99">
        <v>1679.97</v>
      </c>
      <c r="K24" s="99">
        <v>1286.2089000000001</v>
      </c>
      <c r="L24" s="99">
        <v>818.90480000000002</v>
      </c>
    </row>
    <row r="25" spans="1:12" x14ac:dyDescent="0.2">
      <c r="A25" s="101">
        <v>0.57999999999999996</v>
      </c>
      <c r="B25" s="99">
        <v>51.7759</v>
      </c>
      <c r="C25" s="99">
        <v>554.00229999999999</v>
      </c>
      <c r="D25" s="99">
        <v>703.77769999999998</v>
      </c>
      <c r="E25" s="99">
        <v>570.71360000000004</v>
      </c>
      <c r="F25" s="99">
        <v>412.79700000000003</v>
      </c>
      <c r="G25" s="99">
        <v>563.45140000000004</v>
      </c>
      <c r="H25" s="99">
        <v>430.38729999999998</v>
      </c>
      <c r="I25" s="99">
        <v>272.4708</v>
      </c>
      <c r="J25" s="99">
        <v>1609.8612000000001</v>
      </c>
      <c r="K25" s="99">
        <v>1229.6780000000001</v>
      </c>
      <c r="L25" s="99">
        <v>778.48789999999997</v>
      </c>
    </row>
    <row r="26" spans="1:12" x14ac:dyDescent="0.2">
      <c r="A26" s="70" t="s">
        <v>872</v>
      </c>
    </row>
    <row r="27" spans="1:12" s="2" customFormat="1" x14ac:dyDescent="0.2">
      <c r="A27" s="2" t="s">
        <v>873</v>
      </c>
      <c r="B27" s="2" t="s">
        <v>874</v>
      </c>
      <c r="C27" s="2" t="s">
        <v>871</v>
      </c>
      <c r="D27" s="2" t="s">
        <v>875</v>
      </c>
      <c r="E27" s="2" t="s">
        <v>876</v>
      </c>
      <c r="F27" s="2" t="s">
        <v>877</v>
      </c>
    </row>
    <row r="28" spans="1:12" x14ac:dyDescent="0.2">
      <c r="A28" t="s">
        <v>542</v>
      </c>
      <c r="B28" s="4">
        <v>13.27</v>
      </c>
      <c r="C28" s="99">
        <v>702.81920000000002</v>
      </c>
      <c r="D28" s="99">
        <v>719.53049999999996</v>
      </c>
      <c r="E28" s="99">
        <v>579.20429999999999</v>
      </c>
      <c r="F28" s="99">
        <v>1654.8693000000001</v>
      </c>
    </row>
    <row r="29" spans="1:12" x14ac:dyDescent="0.2">
      <c r="A29" t="s">
        <v>878</v>
      </c>
      <c r="B29" s="4">
        <v>10.7</v>
      </c>
      <c r="C29" s="99">
        <v>566.70429999999999</v>
      </c>
      <c r="D29" s="99">
        <v>583.41560000000004</v>
      </c>
      <c r="E29" s="99">
        <v>443.08929999999998</v>
      </c>
      <c r="F29" s="99">
        <v>1265.9694</v>
      </c>
    </row>
    <row r="30" spans="1:12" x14ac:dyDescent="0.2">
      <c r="A30" t="s">
        <v>544</v>
      </c>
      <c r="B30" s="4">
        <v>7.65</v>
      </c>
      <c r="C30" s="99">
        <v>405.1671</v>
      </c>
      <c r="D30" s="99">
        <v>421.8784</v>
      </c>
      <c r="E30" s="99">
        <v>281.5521</v>
      </c>
      <c r="F30" s="99">
        <v>804.43460000000005</v>
      </c>
    </row>
    <row r="31" spans="1:12" x14ac:dyDescent="0.2">
      <c r="A31" s="70" t="s">
        <v>879</v>
      </c>
    </row>
    <row r="32" spans="1:12" s="2" customFormat="1" x14ac:dyDescent="0.2">
      <c r="A32" s="2" t="s">
        <v>880</v>
      </c>
      <c r="B32" s="2" t="s">
        <v>881</v>
      </c>
    </row>
    <row r="33" spans="1:2" x14ac:dyDescent="0.2">
      <c r="A33">
        <v>65</v>
      </c>
      <c r="B33">
        <v>163.0763</v>
      </c>
    </row>
    <row r="34" spans="1:2" x14ac:dyDescent="0.2">
      <c r="A34">
        <v>100</v>
      </c>
      <c r="B34">
        <v>175.3263</v>
      </c>
    </row>
    <row r="35" spans="1:2" x14ac:dyDescent="0.2">
      <c r="A35">
        <v>150</v>
      </c>
      <c r="B35">
        <v>192.8263</v>
      </c>
    </row>
    <row r="36" spans="1:2" x14ac:dyDescent="0.2">
      <c r="A36">
        <v>200</v>
      </c>
      <c r="B36">
        <v>210.3263</v>
      </c>
    </row>
    <row r="37" spans="1:2" x14ac:dyDescent="0.2">
      <c r="A37">
        <v>300</v>
      </c>
      <c r="B37">
        <v>245.3263</v>
      </c>
    </row>
    <row r="38" spans="1:2" x14ac:dyDescent="0.2">
      <c r="A38">
        <v>500</v>
      </c>
      <c r="B38">
        <v>315.3263</v>
      </c>
    </row>
    <row r="39" spans="1:2" x14ac:dyDescent="0.2">
      <c r="A39">
        <v>1000</v>
      </c>
      <c r="B39">
        <v>490.3263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7A08-A42E-44BA-8069-680B99C184B9}">
  <dimension ref="A1"/>
  <sheetViews>
    <sheetView workbookViewId="0">
      <selection sqref="A1:XFD1"/>
    </sheetView>
  </sheetViews>
  <sheetFormatPr baseColWidth="10" defaultColWidth="8.83203125" defaultRowHeight="15" x14ac:dyDescent="0.2"/>
  <sheetData>
    <row r="1" spans="1:1" s="106" customFormat="1" x14ac:dyDescent="0.2">
      <c r="A1" s="106" t="s">
        <v>931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9F187-F273-4C12-BD6C-2F04EFB149FE}">
  <dimension ref="A1"/>
  <sheetViews>
    <sheetView workbookViewId="0">
      <selection sqref="A1:XFD1"/>
    </sheetView>
  </sheetViews>
  <sheetFormatPr baseColWidth="10" defaultColWidth="8.83203125" defaultRowHeight="15" x14ac:dyDescent="0.2"/>
  <sheetData>
    <row r="1" spans="1:1" s="106" customFormat="1" x14ac:dyDescent="0.2">
      <c r="A1" s="106" t="s">
        <v>932</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8A49-1AC8-4303-8F0E-98C49E236E00}">
  <dimension ref="A1:G48"/>
  <sheetViews>
    <sheetView workbookViewId="0"/>
  </sheetViews>
  <sheetFormatPr baseColWidth="10" defaultColWidth="30.33203125" defaultRowHeight="15" x14ac:dyDescent="0.2"/>
  <sheetData>
    <row r="1" spans="1:3" x14ac:dyDescent="0.2">
      <c r="A1" t="s">
        <v>653</v>
      </c>
    </row>
    <row r="2" spans="1:3" x14ac:dyDescent="0.2">
      <c r="A2" t="s">
        <v>654</v>
      </c>
      <c r="B2">
        <f>SUM('S2_Storage CAPEX'!E6:E8)</f>
        <v>6.1539999999999999</v>
      </c>
      <c r="C2" t="s">
        <v>334</v>
      </c>
    </row>
    <row r="3" spans="1:3" x14ac:dyDescent="0.2">
      <c r="A3" t="s">
        <v>655</v>
      </c>
      <c r="B3">
        <f>SUM('S2_Storage CAPEX'!E10:E11)</f>
        <v>13.923</v>
      </c>
      <c r="C3" t="s">
        <v>334</v>
      </c>
    </row>
    <row r="4" spans="1:3" x14ac:dyDescent="0.2">
      <c r="A4" t="s">
        <v>656</v>
      </c>
      <c r="B4">
        <f>SUM('S2_Storage CAPEX'!E13:E14)</f>
        <v>32.892535000000002</v>
      </c>
      <c r="C4" t="s">
        <v>334</v>
      </c>
    </row>
    <row r="5" spans="1:3" x14ac:dyDescent="0.2">
      <c r="A5" t="s">
        <v>657</v>
      </c>
      <c r="B5">
        <f>'S2_Storage CAPEX'!E16</f>
        <v>5.9157042000000004</v>
      </c>
      <c r="C5" t="s">
        <v>334</v>
      </c>
    </row>
    <row r="6" spans="1:3" x14ac:dyDescent="0.2">
      <c r="A6" t="s">
        <v>658</v>
      </c>
      <c r="B6">
        <f>'S5_Electrolyser CAPEX'!D21</f>
        <v>223.59695133250307</v>
      </c>
      <c r="C6" t="s">
        <v>334</v>
      </c>
    </row>
    <row r="7" spans="1:3" x14ac:dyDescent="0.2">
      <c r="A7" t="s">
        <v>659</v>
      </c>
      <c r="B7">
        <f>SUM(B2:B6)</f>
        <v>282.48219053250307</v>
      </c>
      <c r="C7" t="s">
        <v>334</v>
      </c>
    </row>
    <row r="9" spans="1:3" x14ac:dyDescent="0.2">
      <c r="A9" t="s">
        <v>660</v>
      </c>
    </row>
    <row r="10" spans="1:3" x14ac:dyDescent="0.2">
      <c r="A10" t="s">
        <v>661</v>
      </c>
      <c r="B10">
        <f>'S3_Storage OPEX'!C12</f>
        <v>2.2593000000000001</v>
      </c>
      <c r="C10" t="s">
        <v>334</v>
      </c>
    </row>
    <row r="11" spans="1:3" x14ac:dyDescent="0.2">
      <c r="A11" t="s">
        <v>662</v>
      </c>
      <c r="B11">
        <f>SUM('S3_Storage OPEX'!C14:C22)</f>
        <v>4.0570000000000004</v>
      </c>
      <c r="C11" t="s">
        <v>334</v>
      </c>
    </row>
    <row r="12" spans="1:3" x14ac:dyDescent="0.2">
      <c r="A12" t="s">
        <v>100</v>
      </c>
      <c r="B12">
        <f>SUM('S3_Storage OPEX'!C24)</f>
        <v>0.95200000000000007</v>
      </c>
      <c r="C12" t="s">
        <v>334</v>
      </c>
    </row>
    <row r="13" spans="1:3" x14ac:dyDescent="0.2">
      <c r="A13" t="s">
        <v>663</v>
      </c>
      <c r="B13">
        <f>SUM('S3_Storage OPEX'!C26:C29)</f>
        <v>6.0519999999999996</v>
      </c>
      <c r="C13" t="s">
        <v>334</v>
      </c>
    </row>
    <row r="14" spans="1:3" x14ac:dyDescent="0.2">
      <c r="A14" t="s">
        <v>664</v>
      </c>
      <c r="B14">
        <f>'S6_Electrolyser OPEX'!D7</f>
        <v>6.707908539975092</v>
      </c>
      <c r="C14" t="s">
        <v>334</v>
      </c>
    </row>
    <row r="15" spans="1:3" x14ac:dyDescent="0.2">
      <c r="A15" t="s">
        <v>665</v>
      </c>
      <c r="B15">
        <f>'S6_Electrolyser OPEX'!D11</f>
        <v>53.34175636363635</v>
      </c>
      <c r="C15" t="s">
        <v>334</v>
      </c>
    </row>
    <row r="16" spans="1:3" x14ac:dyDescent="0.2">
      <c r="A16" t="s">
        <v>659</v>
      </c>
      <c r="B16">
        <f>SUM(B10:B15)</f>
        <v>73.369964903611447</v>
      </c>
      <c r="C16" t="s">
        <v>334</v>
      </c>
    </row>
    <row r="18" spans="1:7" x14ac:dyDescent="0.2">
      <c r="A18" t="s">
        <v>666</v>
      </c>
    </row>
    <row r="19" spans="1:7" x14ac:dyDescent="0.2">
      <c r="A19" t="s">
        <v>0</v>
      </c>
      <c r="B19" t="s">
        <v>672</v>
      </c>
      <c r="C19" t="s">
        <v>673</v>
      </c>
      <c r="D19" t="s">
        <v>674</v>
      </c>
      <c r="E19" t="s">
        <v>170</v>
      </c>
      <c r="F19" t="s">
        <v>171</v>
      </c>
      <c r="G19" t="s">
        <v>169</v>
      </c>
    </row>
    <row r="20" spans="1:7" x14ac:dyDescent="0.2">
      <c r="A20" t="s">
        <v>667</v>
      </c>
      <c r="B20">
        <f t="shared" ref="B20:B25" si="0">G20-E20</f>
        <v>-4.8199999999999994</v>
      </c>
      <c r="C20">
        <f t="shared" ref="C20:C25" si="1">F20-E20</f>
        <v>13.81</v>
      </c>
      <c r="D20">
        <f t="shared" ref="D20:D25" si="2">ABS(F20-G20)</f>
        <v>18.63</v>
      </c>
      <c r="E20">
        <f>'S9_LCOH sensitivity'!$D$6</f>
        <v>10.69</v>
      </c>
      <c r="F20">
        <f>'S9_LCOH sensitivity'!F5</f>
        <v>24.5</v>
      </c>
      <c r="G20">
        <f>'S9_LCOH sensitivity'!C7</f>
        <v>5.87</v>
      </c>
    </row>
    <row r="21" spans="1:7" x14ac:dyDescent="0.2">
      <c r="A21" t="s">
        <v>669</v>
      </c>
      <c r="B21">
        <f t="shared" si="0"/>
        <v>-3.09</v>
      </c>
      <c r="C21">
        <f t="shared" si="1"/>
        <v>6.6899999999999995</v>
      </c>
      <c r="D21">
        <f t="shared" si="2"/>
        <v>9.7799999999999994</v>
      </c>
      <c r="E21">
        <f>'S9_LCOH sensitivity'!$D$6</f>
        <v>10.69</v>
      </c>
      <c r="F21">
        <f>'S9_LCOH sensitivity'!B21</f>
        <v>17.38</v>
      </c>
      <c r="G21">
        <f>'S9_LCOH sensitivity'!E22</f>
        <v>7.6</v>
      </c>
    </row>
    <row r="22" spans="1:7" x14ac:dyDescent="0.2">
      <c r="A22" t="s">
        <v>108</v>
      </c>
      <c r="B22">
        <f t="shared" si="0"/>
        <v>-3.88</v>
      </c>
      <c r="C22">
        <f t="shared" si="1"/>
        <v>0.84999999999999964</v>
      </c>
      <c r="D22">
        <f t="shared" si="2"/>
        <v>4.7299999999999995</v>
      </c>
      <c r="E22">
        <f>'S9_LCOH sensitivity'!$D$6</f>
        <v>10.69</v>
      </c>
      <c r="F22">
        <f>'S9_LCOH sensitivity'!C17</f>
        <v>11.54</v>
      </c>
      <c r="G22">
        <f>'S9_LCOH sensitivity'!E18</f>
        <v>6.81</v>
      </c>
    </row>
    <row r="23" spans="1:7" x14ac:dyDescent="0.2">
      <c r="A23" t="s">
        <v>668</v>
      </c>
      <c r="B23">
        <f t="shared" si="0"/>
        <v>-3.5799999999999992</v>
      </c>
      <c r="C23">
        <f t="shared" si="1"/>
        <v>3.25</v>
      </c>
      <c r="D23">
        <f t="shared" si="2"/>
        <v>6.8299999999999992</v>
      </c>
      <c r="E23">
        <f>'S9_LCOH sensitivity'!$D$6</f>
        <v>10.69</v>
      </c>
      <c r="F23">
        <f>'S9_LCOH sensitivity'!E12</f>
        <v>13.94</v>
      </c>
      <c r="G23">
        <f>'S9_LCOH sensitivity'!C14</f>
        <v>7.11</v>
      </c>
    </row>
    <row r="24" spans="1:7" x14ac:dyDescent="0.2">
      <c r="A24" t="s">
        <v>671</v>
      </c>
      <c r="B24">
        <f t="shared" si="0"/>
        <v>-3.09</v>
      </c>
      <c r="C24">
        <f t="shared" si="1"/>
        <v>0</v>
      </c>
      <c r="D24">
        <f t="shared" si="2"/>
        <v>3.09</v>
      </c>
      <c r="E24">
        <f>'S9_LCOH sensitivity'!$D$6</f>
        <v>10.69</v>
      </c>
      <c r="F24">
        <f>'S9_LCOH sensitivity'!D29</f>
        <v>10.69</v>
      </c>
      <c r="G24">
        <f>'S9_LCOH sensitivity'!C30</f>
        <v>7.6</v>
      </c>
    </row>
    <row r="25" spans="1:7" x14ac:dyDescent="0.2">
      <c r="A25" t="s">
        <v>670</v>
      </c>
      <c r="B25">
        <f t="shared" si="0"/>
        <v>-3.05</v>
      </c>
      <c r="C25">
        <f t="shared" si="1"/>
        <v>0</v>
      </c>
      <c r="D25">
        <f t="shared" si="2"/>
        <v>3.05</v>
      </c>
      <c r="E25">
        <f>'S9_LCOH sensitivity'!$D$6</f>
        <v>10.69</v>
      </c>
      <c r="F25">
        <f>'S9_LCOH sensitivity'!D25</f>
        <v>10.69</v>
      </c>
      <c r="G25">
        <f>'S9_LCOH sensitivity'!D26</f>
        <v>7.64</v>
      </c>
    </row>
    <row r="27" spans="1:7" x14ac:dyDescent="0.2">
      <c r="A27" t="s">
        <v>675</v>
      </c>
    </row>
    <row r="28" spans="1:7" x14ac:dyDescent="0.2">
      <c r="A28" s="27" t="s">
        <v>676</v>
      </c>
      <c r="B28" s="73" t="s">
        <v>638</v>
      </c>
      <c r="C28" t="s">
        <v>639</v>
      </c>
      <c r="D28" t="s">
        <v>640</v>
      </c>
    </row>
    <row r="29" spans="1:7" x14ac:dyDescent="0.2">
      <c r="A29" s="58">
        <v>70</v>
      </c>
      <c r="B29" s="88">
        <v>11.02</v>
      </c>
      <c r="C29" s="4">
        <v>8.92</v>
      </c>
      <c r="D29" s="4">
        <v>5.87</v>
      </c>
    </row>
    <row r="30" spans="1:7" x14ac:dyDescent="0.2">
      <c r="A30" s="58">
        <v>100</v>
      </c>
      <c r="B30" s="88">
        <v>13.27</v>
      </c>
      <c r="C30" s="4">
        <v>10.69</v>
      </c>
      <c r="D30" s="4">
        <v>7.64</v>
      </c>
    </row>
    <row r="31" spans="1:7" x14ac:dyDescent="0.2">
      <c r="A31" s="58">
        <v>150</v>
      </c>
      <c r="B31" s="88">
        <v>17.010000000000002</v>
      </c>
      <c r="C31" s="4">
        <v>13.65</v>
      </c>
      <c r="D31" s="4">
        <v>10.6</v>
      </c>
    </row>
    <row r="32" spans="1:7" x14ac:dyDescent="0.2">
      <c r="A32" s="58">
        <v>250</v>
      </c>
      <c r="B32" s="88">
        <v>24.5</v>
      </c>
      <c r="C32" s="4">
        <v>19.5</v>
      </c>
      <c r="D32" s="4">
        <v>16.5</v>
      </c>
    </row>
    <row r="33" spans="1:6" x14ac:dyDescent="0.2">
      <c r="A33" s="27" t="s">
        <v>115</v>
      </c>
      <c r="B33" s="27" t="s">
        <v>115</v>
      </c>
      <c r="C33" s="27" t="s">
        <v>115</v>
      </c>
      <c r="D33" s="27" t="s">
        <v>115</v>
      </c>
    </row>
    <row r="35" spans="1:6" x14ac:dyDescent="0.2">
      <c r="A35" t="s">
        <v>677</v>
      </c>
    </row>
    <row r="36" spans="1:6" x14ac:dyDescent="0.2">
      <c r="B36" t="s">
        <v>542</v>
      </c>
      <c r="C36" t="s">
        <v>170</v>
      </c>
      <c r="D36" t="s">
        <v>544</v>
      </c>
    </row>
    <row r="37" spans="1:6" x14ac:dyDescent="0.2">
      <c r="A37" t="s">
        <v>581</v>
      </c>
      <c r="B37">
        <v>13.27</v>
      </c>
      <c r="C37">
        <v>10.699518164924111</v>
      </c>
      <c r="D37">
        <v>7.6465010714820556</v>
      </c>
    </row>
    <row r="38" spans="1:6" x14ac:dyDescent="0.2">
      <c r="A38" t="s">
        <v>582</v>
      </c>
      <c r="B38">
        <v>2.4300000000000002</v>
      </c>
      <c r="C38">
        <v>2.2162542245433499</v>
      </c>
      <c r="D38">
        <v>0.73022405305210947</v>
      </c>
    </row>
    <row r="40" spans="1:6" x14ac:dyDescent="0.2">
      <c r="A40" t="s">
        <v>678</v>
      </c>
    </row>
    <row r="41" spans="1:6" ht="32" x14ac:dyDescent="0.2">
      <c r="A41" s="81" t="s">
        <v>613</v>
      </c>
      <c r="B41" s="41" t="s">
        <v>679</v>
      </c>
      <c r="C41" t="s">
        <v>596</v>
      </c>
      <c r="D41" t="s">
        <v>615</v>
      </c>
      <c r="E41">
        <v>1.95</v>
      </c>
      <c r="F41" t="s">
        <v>596</v>
      </c>
    </row>
    <row r="42" spans="1:6" ht="32" x14ac:dyDescent="0.2">
      <c r="A42" s="81" t="s">
        <v>618</v>
      </c>
      <c r="B42" s="41">
        <v>3.56</v>
      </c>
      <c r="C42" t="s">
        <v>596</v>
      </c>
      <c r="D42" t="s">
        <v>615</v>
      </c>
      <c r="E42">
        <v>2.21</v>
      </c>
      <c r="F42" t="s">
        <v>596</v>
      </c>
    </row>
    <row r="43" spans="1:6" ht="32" x14ac:dyDescent="0.2">
      <c r="A43" s="81" t="s">
        <v>622</v>
      </c>
      <c r="B43" s="41" t="s">
        <v>680</v>
      </c>
      <c r="C43" t="s">
        <v>596</v>
      </c>
      <c r="D43" t="s">
        <v>624</v>
      </c>
      <c r="E43">
        <v>0.73</v>
      </c>
      <c r="F43" t="s">
        <v>596</v>
      </c>
    </row>
    <row r="44" spans="1:6" ht="32" x14ac:dyDescent="0.2">
      <c r="A44" s="81" t="s">
        <v>627</v>
      </c>
      <c r="B44" s="41" t="s">
        <v>681</v>
      </c>
      <c r="C44" t="s">
        <v>596</v>
      </c>
      <c r="D44" t="s">
        <v>624</v>
      </c>
    </row>
    <row r="45" spans="1:6" ht="32" x14ac:dyDescent="0.2">
      <c r="C45" s="41" t="s">
        <v>682</v>
      </c>
      <c r="D45" t="s">
        <v>683</v>
      </c>
      <c r="E45" t="s">
        <v>684</v>
      </c>
    </row>
    <row r="46" spans="1:6" ht="16" x14ac:dyDescent="0.2">
      <c r="A46" s="41" t="s">
        <v>542</v>
      </c>
      <c r="B46">
        <v>2.4300000000000002</v>
      </c>
      <c r="C46">
        <v>3.56</v>
      </c>
      <c r="D46">
        <v>1.46</v>
      </c>
      <c r="E46">
        <v>1.07</v>
      </c>
    </row>
    <row r="47" spans="1:6" ht="16" x14ac:dyDescent="0.2">
      <c r="A47" s="41" t="s">
        <v>170</v>
      </c>
      <c r="B47">
        <v>2.21</v>
      </c>
      <c r="C47">
        <v>3.56</v>
      </c>
      <c r="D47">
        <v>1.46</v>
      </c>
      <c r="E47">
        <v>1.51</v>
      </c>
    </row>
    <row r="48" spans="1:6" ht="16" x14ac:dyDescent="0.2">
      <c r="A48" s="41" t="s">
        <v>544</v>
      </c>
      <c r="B48">
        <v>0.73</v>
      </c>
      <c r="C48">
        <v>3.56</v>
      </c>
      <c r="D48">
        <v>1.46</v>
      </c>
      <c r="E48">
        <v>1.92</v>
      </c>
    </row>
  </sheetData>
  <sortState xmlns:xlrd2="http://schemas.microsoft.com/office/spreadsheetml/2017/richdata2" ref="A20:D25">
    <sortCondition descending="1" ref="D20:D25"/>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5DBA5-4268-4890-A95A-FB150E4A495A}">
  <dimension ref="A1:L44"/>
  <sheetViews>
    <sheetView zoomScale="87" workbookViewId="0"/>
  </sheetViews>
  <sheetFormatPr baseColWidth="10" defaultColWidth="29.5" defaultRowHeight="15" x14ac:dyDescent="0.2"/>
  <cols>
    <col min="1" max="1" width="41.83203125" customWidth="1"/>
    <col min="2" max="2" width="57.1640625" customWidth="1"/>
    <col min="3" max="3" width="53.1640625" customWidth="1"/>
    <col min="4" max="4" width="55.6640625" customWidth="1"/>
  </cols>
  <sheetData>
    <row r="1" spans="1:5" x14ac:dyDescent="0.2">
      <c r="A1" t="s">
        <v>882</v>
      </c>
    </row>
    <row r="2" spans="1:5" x14ac:dyDescent="0.2">
      <c r="A2" t="s">
        <v>851</v>
      </c>
      <c r="B2" t="s">
        <v>852</v>
      </c>
      <c r="C2" t="s">
        <v>862</v>
      </c>
      <c r="D2" t="s">
        <v>853</v>
      </c>
      <c r="E2" t="s">
        <v>863</v>
      </c>
    </row>
    <row r="3" spans="1:5" x14ac:dyDescent="0.2">
      <c r="A3">
        <v>12</v>
      </c>
      <c r="B3">
        <v>89.532600000000002</v>
      </c>
      <c r="C3">
        <v>719.53</v>
      </c>
      <c r="D3">
        <v>583.41560000000004</v>
      </c>
      <c r="E3">
        <v>421.88</v>
      </c>
    </row>
    <row r="4" spans="1:5" x14ac:dyDescent="0.2">
      <c r="A4">
        <v>15</v>
      </c>
      <c r="B4">
        <v>108.5802</v>
      </c>
      <c r="C4">
        <v>719.53</v>
      </c>
      <c r="D4">
        <v>583.41560000000004</v>
      </c>
      <c r="E4">
        <v>421.88</v>
      </c>
    </row>
    <row r="5" spans="1:5" x14ac:dyDescent="0.2">
      <c r="A5">
        <v>20</v>
      </c>
      <c r="B5">
        <v>140.3263</v>
      </c>
      <c r="C5">
        <v>719.53</v>
      </c>
      <c r="D5">
        <v>583.41560000000004</v>
      </c>
      <c r="E5">
        <v>421.88</v>
      </c>
    </row>
    <row r="6" spans="1:5" x14ac:dyDescent="0.2">
      <c r="A6">
        <v>25</v>
      </c>
      <c r="B6">
        <v>172.07230000000001</v>
      </c>
      <c r="C6">
        <v>719.53</v>
      </c>
      <c r="D6">
        <v>583.41560000000004</v>
      </c>
      <c r="E6">
        <v>421.88</v>
      </c>
    </row>
    <row r="7" spans="1:5" x14ac:dyDescent="0.2">
      <c r="A7">
        <v>30</v>
      </c>
      <c r="B7">
        <v>203.81829999999999</v>
      </c>
      <c r="C7">
        <v>719.53</v>
      </c>
      <c r="D7">
        <v>583.41560000000004</v>
      </c>
      <c r="E7">
        <v>421.88</v>
      </c>
    </row>
    <row r="8" spans="1:5" x14ac:dyDescent="0.2">
      <c r="A8">
        <v>35</v>
      </c>
      <c r="B8">
        <v>235.56440000000001</v>
      </c>
      <c r="C8">
        <v>719.53</v>
      </c>
      <c r="D8">
        <v>583.41560000000004</v>
      </c>
      <c r="E8">
        <v>421.88</v>
      </c>
    </row>
    <row r="9" spans="1:5" x14ac:dyDescent="0.2">
      <c r="A9">
        <v>40</v>
      </c>
      <c r="B9">
        <v>267.31040000000002</v>
      </c>
      <c r="C9">
        <v>719.53</v>
      </c>
      <c r="D9">
        <v>583.41560000000004</v>
      </c>
      <c r="E9">
        <v>421.88</v>
      </c>
    </row>
    <row r="10" spans="1:5" x14ac:dyDescent="0.2">
      <c r="A10" t="s">
        <v>883</v>
      </c>
    </row>
    <row r="11" spans="1:5" x14ac:dyDescent="0.2">
      <c r="A11" t="s">
        <v>851</v>
      </c>
      <c r="B11" t="s">
        <v>856</v>
      </c>
      <c r="C11" t="s">
        <v>857</v>
      </c>
      <c r="D11" s="95" t="s">
        <v>847</v>
      </c>
    </row>
    <row r="12" spans="1:5" x14ac:dyDescent="0.2">
      <c r="A12">
        <v>12</v>
      </c>
      <c r="B12" s="99">
        <v>1411.0942</v>
      </c>
      <c r="C12" s="99">
        <v>949.55930000000001</v>
      </c>
      <c r="D12" s="99">
        <v>112.2826</v>
      </c>
    </row>
    <row r="13" spans="1:5" x14ac:dyDescent="0.2">
      <c r="A13">
        <v>15</v>
      </c>
      <c r="B13" s="99">
        <v>1356.6723999999999</v>
      </c>
      <c r="C13" s="99">
        <v>895.13750000000005</v>
      </c>
      <c r="D13" s="99">
        <v>131.33019999999999</v>
      </c>
    </row>
    <row r="14" spans="1:5" x14ac:dyDescent="0.2">
      <c r="A14">
        <v>20</v>
      </c>
      <c r="B14" s="99">
        <v>1265.9694</v>
      </c>
      <c r="C14" s="99">
        <v>804.43460000000005</v>
      </c>
      <c r="D14" s="99">
        <v>163.0763</v>
      </c>
    </row>
    <row r="15" spans="1:5" x14ac:dyDescent="0.2">
      <c r="A15">
        <v>25</v>
      </c>
      <c r="B15" s="99">
        <v>1175.2665</v>
      </c>
      <c r="C15" s="99">
        <v>713.73159999999996</v>
      </c>
      <c r="D15" s="99">
        <v>194.82230000000001</v>
      </c>
    </row>
    <row r="16" spans="1:5" x14ac:dyDescent="0.2">
      <c r="A16">
        <v>30</v>
      </c>
      <c r="B16" s="99">
        <v>1084.5635</v>
      </c>
      <c r="C16" s="99">
        <v>623.02869999999996</v>
      </c>
      <c r="D16" s="99">
        <v>226.56829999999999</v>
      </c>
    </row>
    <row r="17" spans="1:12" x14ac:dyDescent="0.2">
      <c r="A17">
        <v>35</v>
      </c>
      <c r="B17" s="99">
        <v>993.86059999999998</v>
      </c>
      <c r="C17" s="99">
        <v>532.32569999999998</v>
      </c>
      <c r="D17" s="99">
        <v>258.31439999999998</v>
      </c>
    </row>
    <row r="18" spans="1:12" x14ac:dyDescent="0.2">
      <c r="A18">
        <v>40</v>
      </c>
      <c r="B18" s="99">
        <v>903.1576</v>
      </c>
      <c r="C18" s="99">
        <v>441.62279999999998</v>
      </c>
      <c r="D18" s="99">
        <v>290.06040000000002</v>
      </c>
    </row>
    <row r="19" spans="1:12" x14ac:dyDescent="0.2">
      <c r="A19" t="s">
        <v>884</v>
      </c>
    </row>
    <row r="20" spans="1:12" x14ac:dyDescent="0.2">
      <c r="A20" t="s">
        <v>880</v>
      </c>
      <c r="B20" t="s">
        <v>881</v>
      </c>
      <c r="C20" t="s">
        <v>862</v>
      </c>
      <c r="D20" t="s">
        <v>853</v>
      </c>
      <c r="E20" t="s">
        <v>863</v>
      </c>
    </row>
    <row r="21" spans="1:12" x14ac:dyDescent="0.2">
      <c r="A21">
        <v>65</v>
      </c>
      <c r="B21">
        <v>163.0763</v>
      </c>
      <c r="C21">
        <v>719.53</v>
      </c>
      <c r="D21">
        <v>583.41560000000004</v>
      </c>
      <c r="E21">
        <v>421.88</v>
      </c>
    </row>
    <row r="22" spans="1:12" x14ac:dyDescent="0.2">
      <c r="A22">
        <v>100</v>
      </c>
      <c r="B22">
        <v>175.3263</v>
      </c>
      <c r="C22">
        <v>719.53</v>
      </c>
      <c r="D22">
        <v>583.41560000000004</v>
      </c>
      <c r="E22">
        <v>421.88</v>
      </c>
    </row>
    <row r="23" spans="1:12" x14ac:dyDescent="0.2">
      <c r="A23">
        <v>150</v>
      </c>
      <c r="B23">
        <v>192.8263</v>
      </c>
      <c r="C23">
        <v>719.53</v>
      </c>
      <c r="D23">
        <v>583.41560000000004</v>
      </c>
      <c r="E23">
        <v>421.88</v>
      </c>
    </row>
    <row r="24" spans="1:12" x14ac:dyDescent="0.2">
      <c r="A24">
        <v>200</v>
      </c>
      <c r="B24">
        <v>210.3263</v>
      </c>
      <c r="C24">
        <v>719.53</v>
      </c>
      <c r="D24">
        <v>583.41560000000004</v>
      </c>
      <c r="E24">
        <v>421.88</v>
      </c>
    </row>
    <row r="25" spans="1:12" x14ac:dyDescent="0.2">
      <c r="A25">
        <v>300</v>
      </c>
      <c r="B25">
        <v>245.3263</v>
      </c>
      <c r="C25">
        <v>719.53</v>
      </c>
      <c r="D25">
        <v>583.41560000000004</v>
      </c>
      <c r="E25">
        <v>421.88</v>
      </c>
    </row>
    <row r="26" spans="1:12" x14ac:dyDescent="0.2">
      <c r="A26">
        <v>500</v>
      </c>
      <c r="B26">
        <v>315.3263</v>
      </c>
      <c r="C26">
        <v>719.53</v>
      </c>
      <c r="D26">
        <v>583.41560000000004</v>
      </c>
      <c r="E26">
        <v>421.88</v>
      </c>
    </row>
    <row r="27" spans="1:12" x14ac:dyDescent="0.2">
      <c r="A27">
        <v>1000</v>
      </c>
      <c r="B27">
        <v>490.3263</v>
      </c>
      <c r="C27">
        <v>719.53</v>
      </c>
      <c r="D27">
        <v>583.41560000000004</v>
      </c>
      <c r="E27">
        <v>421.88</v>
      </c>
    </row>
    <row r="28" spans="1:12" x14ac:dyDescent="0.2">
      <c r="A28" cm="1">
        <f t="array" aca="1" ref="A28" ca="1">+B36+A28:D34+A28:G33+A28:F+A28:D34</f>
        <v>0</v>
      </c>
    </row>
    <row r="29" spans="1:12" x14ac:dyDescent="0.2">
      <c r="A29" t="s">
        <v>0</v>
      </c>
      <c r="B29" t="s">
        <v>885</v>
      </c>
      <c r="C29" t="s">
        <v>886</v>
      </c>
      <c r="D29" t="s">
        <v>674</v>
      </c>
      <c r="E29" t="s">
        <v>170</v>
      </c>
      <c r="F29" t="s">
        <v>169</v>
      </c>
      <c r="G29" t="s">
        <v>171</v>
      </c>
    </row>
    <row r="30" spans="1:12" x14ac:dyDescent="0.2">
      <c r="A30" s="102" t="s">
        <v>874</v>
      </c>
      <c r="B30" s="103">
        <f>F30-E30</f>
        <v>-161.53560000000004</v>
      </c>
      <c r="C30" s="103">
        <f>G30-E30</f>
        <v>136.11439999999993</v>
      </c>
      <c r="D30" s="103">
        <f>C30-B30</f>
        <v>297.64999999999998</v>
      </c>
      <c r="E30" s="99">
        <v>583.41560000000004</v>
      </c>
      <c r="F30" s="99">
        <v>421.88</v>
      </c>
      <c r="G30" s="99">
        <v>719.53</v>
      </c>
      <c r="H30" s="102"/>
      <c r="I30" s="99"/>
      <c r="J30" s="99"/>
      <c r="K30" s="99"/>
      <c r="L30" s="99"/>
    </row>
    <row r="31" spans="1:12" x14ac:dyDescent="0.2">
      <c r="A31" s="102" t="s">
        <v>869</v>
      </c>
      <c r="B31" s="103">
        <f>F31-E31</f>
        <v>-12.705600000000004</v>
      </c>
      <c r="C31" s="103">
        <f>G31-E31</f>
        <v>17.51439999999991</v>
      </c>
      <c r="D31" s="103">
        <f>C31-B31</f>
        <v>30.219999999999914</v>
      </c>
      <c r="E31" s="99">
        <v>583.41560000000004</v>
      </c>
      <c r="F31" s="99">
        <v>570.71</v>
      </c>
      <c r="G31" s="99">
        <v>600.92999999999995</v>
      </c>
      <c r="H31" s="102"/>
      <c r="I31" s="99"/>
      <c r="J31" s="99"/>
      <c r="K31" s="99"/>
      <c r="L31" s="99"/>
    </row>
    <row r="32" spans="1:12" x14ac:dyDescent="0.2">
      <c r="A32" s="102" t="s">
        <v>887</v>
      </c>
      <c r="B32" s="103">
        <f>F32-E32</f>
        <v>4.3999999999186912E-3</v>
      </c>
      <c r="C32" s="103">
        <f>G32-E32</f>
        <v>1.5643999999999778</v>
      </c>
      <c r="D32" s="103">
        <f>C32-B32</f>
        <v>1.5600000000000591</v>
      </c>
      <c r="E32" s="99">
        <v>583.41560000000004</v>
      </c>
      <c r="F32" s="99">
        <v>583.41999999999996</v>
      </c>
      <c r="G32" s="99">
        <v>584.98</v>
      </c>
      <c r="H32" s="102"/>
      <c r="I32" s="99"/>
      <c r="J32" s="99"/>
      <c r="K32" s="99"/>
      <c r="L32" s="99"/>
    </row>
    <row r="33" spans="1:8" x14ac:dyDescent="0.2">
      <c r="A33" s="102" t="s">
        <v>859</v>
      </c>
      <c r="B33" s="103">
        <f>F33-E33</f>
        <v>2.0244000000000142</v>
      </c>
      <c r="C33" s="103">
        <f>G33-E33</f>
        <v>-1.3455999999999904</v>
      </c>
      <c r="D33" s="103">
        <f>C33-B33</f>
        <v>-3.3700000000000045</v>
      </c>
      <c r="E33" s="99">
        <v>583.41560000000004</v>
      </c>
      <c r="F33" s="99">
        <v>585.44000000000005</v>
      </c>
      <c r="G33" s="99">
        <v>582.07000000000005</v>
      </c>
      <c r="H33" s="102"/>
    </row>
    <row r="35" spans="1:8" x14ac:dyDescent="0.2">
      <c r="A35" t="s">
        <v>888</v>
      </c>
    </row>
    <row r="36" spans="1:8" x14ac:dyDescent="0.2">
      <c r="A36" s="102" t="s">
        <v>253</v>
      </c>
      <c r="B36" t="s">
        <v>838</v>
      </c>
    </row>
    <row r="37" spans="1:8" x14ac:dyDescent="0.2">
      <c r="A37" s="102" t="s">
        <v>170</v>
      </c>
      <c r="B37">
        <v>16.606669648235293</v>
      </c>
    </row>
    <row r="38" spans="1:8" x14ac:dyDescent="0.2">
      <c r="A38" s="102" t="s">
        <v>544</v>
      </c>
      <c r="B38">
        <v>66.038822719411755</v>
      </c>
    </row>
    <row r="40" spans="1:8" x14ac:dyDescent="0.2">
      <c r="A40" s="102" t="s">
        <v>889</v>
      </c>
    </row>
    <row r="41" spans="1:8" x14ac:dyDescent="0.2">
      <c r="A41" t="s">
        <v>890</v>
      </c>
      <c r="B41" t="s">
        <v>874</v>
      </c>
      <c r="C41" t="s">
        <v>875</v>
      </c>
      <c r="D41" t="s">
        <v>891</v>
      </c>
    </row>
    <row r="42" spans="1:8" x14ac:dyDescent="0.2">
      <c r="A42" t="s">
        <v>542</v>
      </c>
      <c r="B42" s="4">
        <v>13.27</v>
      </c>
      <c r="C42" s="99">
        <v>719.53049999999996</v>
      </c>
      <c r="D42">
        <v>163.08000000000001</v>
      </c>
    </row>
    <row r="43" spans="1:8" x14ac:dyDescent="0.2">
      <c r="A43" t="s">
        <v>878</v>
      </c>
      <c r="B43" s="4">
        <v>10.7</v>
      </c>
      <c r="C43" s="99">
        <v>583.41560000000004</v>
      </c>
      <c r="D43">
        <v>163.08000000000001</v>
      </c>
    </row>
    <row r="44" spans="1:8" x14ac:dyDescent="0.2">
      <c r="A44" t="s">
        <v>544</v>
      </c>
      <c r="B44" s="4">
        <v>7.65</v>
      </c>
      <c r="C44" s="99">
        <v>421.8784</v>
      </c>
      <c r="D44">
        <v>163.08000000000001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C8B54-BA89-40A6-97BB-519D5FF170D7}">
  <dimension ref="A1:G72"/>
  <sheetViews>
    <sheetView workbookViewId="0">
      <pane ySplit="1" topLeftCell="A29" activePane="bottomLeft" state="frozen"/>
      <selection pane="bottomLeft"/>
    </sheetView>
  </sheetViews>
  <sheetFormatPr baseColWidth="10" defaultColWidth="25.5" defaultRowHeight="15" x14ac:dyDescent="0.2"/>
  <cols>
    <col min="1" max="1" width="51" customWidth="1"/>
    <col min="2" max="2" width="25.5" style="4"/>
    <col min="4" max="4" width="40.6640625" customWidth="1"/>
    <col min="5" max="5" width="45.33203125" style="4" customWidth="1"/>
    <col min="6" max="6" width="31.1640625" customWidth="1"/>
    <col min="7" max="7" width="82.5" customWidth="1"/>
  </cols>
  <sheetData>
    <row r="1" spans="1:7" s="35" customFormat="1" x14ac:dyDescent="0.2">
      <c r="A1" s="35" t="s">
        <v>0</v>
      </c>
      <c r="B1" s="36" t="s">
        <v>1</v>
      </c>
      <c r="C1" s="35" t="s">
        <v>2</v>
      </c>
      <c r="D1" s="35" t="s">
        <v>3</v>
      </c>
      <c r="E1" s="36" t="s">
        <v>41</v>
      </c>
      <c r="F1" s="35" t="s">
        <v>39</v>
      </c>
      <c r="G1" s="35" t="s">
        <v>114</v>
      </c>
    </row>
    <row r="2" spans="1:7" s="2" customFormat="1" x14ac:dyDescent="0.2">
      <c r="A2" s="2" t="s">
        <v>4</v>
      </c>
      <c r="B2" s="3"/>
      <c r="E2" s="3"/>
    </row>
    <row r="3" spans="1:7" x14ac:dyDescent="0.2">
      <c r="A3" t="s">
        <v>5</v>
      </c>
      <c r="B3" s="4">
        <v>2000</v>
      </c>
      <c r="C3" t="s">
        <v>34</v>
      </c>
      <c r="D3" t="s">
        <v>40</v>
      </c>
      <c r="E3" s="4">
        <v>9</v>
      </c>
      <c r="F3" t="s">
        <v>42</v>
      </c>
      <c r="G3" t="s">
        <v>177</v>
      </c>
    </row>
    <row r="4" spans="1:7" x14ac:dyDescent="0.2">
      <c r="A4" t="s">
        <v>6</v>
      </c>
      <c r="B4" s="4">
        <v>65</v>
      </c>
      <c r="C4" t="s">
        <v>37</v>
      </c>
      <c r="D4" t="s">
        <v>40</v>
      </c>
      <c r="E4" s="4">
        <v>2</v>
      </c>
      <c r="F4" t="s">
        <v>43</v>
      </c>
      <c r="G4" t="s">
        <v>178</v>
      </c>
    </row>
    <row r="5" spans="1:7" x14ac:dyDescent="0.2">
      <c r="A5" t="s">
        <v>8</v>
      </c>
      <c r="B5" s="4">
        <v>24</v>
      </c>
      <c r="C5" t="s">
        <v>36</v>
      </c>
      <c r="D5" t="s">
        <v>33</v>
      </c>
      <c r="E5" s="4">
        <v>2</v>
      </c>
      <c r="F5" t="s">
        <v>43</v>
      </c>
      <c r="G5" t="s">
        <v>179</v>
      </c>
    </row>
    <row r="6" spans="1:7" x14ac:dyDescent="0.2">
      <c r="A6" t="s">
        <v>7</v>
      </c>
      <c r="B6" s="4">
        <v>14</v>
      </c>
      <c r="C6" t="s">
        <v>35</v>
      </c>
      <c r="D6" t="s">
        <v>33</v>
      </c>
      <c r="E6" s="4">
        <v>2</v>
      </c>
      <c r="F6" t="s">
        <v>43</v>
      </c>
      <c r="G6" t="s">
        <v>180</v>
      </c>
    </row>
    <row r="7" spans="1:7" x14ac:dyDescent="0.2">
      <c r="A7" t="s">
        <v>9</v>
      </c>
      <c r="B7" s="4">
        <v>40</v>
      </c>
      <c r="C7" t="s">
        <v>38</v>
      </c>
      <c r="D7" t="s">
        <v>33</v>
      </c>
      <c r="E7" s="4">
        <v>2</v>
      </c>
      <c r="F7" t="s">
        <v>43</v>
      </c>
      <c r="G7" t="s">
        <v>181</v>
      </c>
    </row>
    <row r="8" spans="1:7" x14ac:dyDescent="0.2">
      <c r="A8" t="s">
        <v>10</v>
      </c>
      <c r="B8" s="4">
        <v>4</v>
      </c>
      <c r="C8" t="s">
        <v>38</v>
      </c>
      <c r="D8" t="s">
        <v>33</v>
      </c>
      <c r="E8" s="4">
        <v>2</v>
      </c>
      <c r="F8" t="s">
        <v>43</v>
      </c>
      <c r="G8" t="s">
        <v>182</v>
      </c>
    </row>
    <row r="9" spans="1:7" x14ac:dyDescent="0.2">
      <c r="A9" t="s">
        <v>11</v>
      </c>
      <c r="B9" s="4">
        <v>200</v>
      </c>
      <c r="C9" t="s">
        <v>34</v>
      </c>
      <c r="D9" t="s">
        <v>33</v>
      </c>
      <c r="E9" s="4">
        <v>9</v>
      </c>
      <c r="F9" t="s">
        <v>42</v>
      </c>
      <c r="G9" t="s">
        <v>183</v>
      </c>
    </row>
    <row r="10" spans="1:7" x14ac:dyDescent="0.2">
      <c r="A10" t="s">
        <v>12</v>
      </c>
      <c r="B10" s="4">
        <v>2260</v>
      </c>
      <c r="C10" t="s">
        <v>34</v>
      </c>
      <c r="D10" t="s">
        <v>33</v>
      </c>
      <c r="E10" s="4">
        <v>2</v>
      </c>
      <c r="F10" t="s">
        <v>43</v>
      </c>
      <c r="G10" t="s">
        <v>184</v>
      </c>
    </row>
    <row r="11" spans="1:7" x14ac:dyDescent="0.2">
      <c r="A11" t="s">
        <v>13</v>
      </c>
      <c r="B11" s="4">
        <v>16</v>
      </c>
      <c r="C11" t="s">
        <v>36</v>
      </c>
      <c r="D11" t="s">
        <v>33</v>
      </c>
      <c r="E11" s="4">
        <v>11</v>
      </c>
      <c r="F11" t="s">
        <v>46</v>
      </c>
      <c r="G11" t="s">
        <v>185</v>
      </c>
    </row>
    <row r="12" spans="1:7" x14ac:dyDescent="0.2">
      <c r="A12" t="s">
        <v>14</v>
      </c>
      <c r="B12" s="4">
        <v>24</v>
      </c>
      <c r="C12" t="s">
        <v>36</v>
      </c>
      <c r="D12" t="s">
        <v>33</v>
      </c>
      <c r="E12" s="4">
        <v>11</v>
      </c>
      <c r="F12" t="s">
        <v>46</v>
      </c>
      <c r="G12" t="s">
        <v>186</v>
      </c>
    </row>
    <row r="13" spans="1:7" s="2" customFormat="1" x14ac:dyDescent="0.2">
      <c r="A13" s="2" t="s">
        <v>15</v>
      </c>
      <c r="B13" s="3"/>
      <c r="E13" s="3"/>
    </row>
    <row r="14" spans="1:7" x14ac:dyDescent="0.2">
      <c r="A14" t="s">
        <v>16</v>
      </c>
      <c r="B14" s="4">
        <v>6000</v>
      </c>
      <c r="C14" t="s">
        <v>47</v>
      </c>
      <c r="D14" t="s">
        <v>48</v>
      </c>
      <c r="E14" s="4" t="s">
        <v>53</v>
      </c>
      <c r="F14" t="s">
        <v>52</v>
      </c>
      <c r="G14" t="s">
        <v>187</v>
      </c>
    </row>
    <row r="15" spans="1:7" x14ac:dyDescent="0.2">
      <c r="A15" t="s">
        <v>130</v>
      </c>
      <c r="B15" s="4">
        <v>1.667</v>
      </c>
      <c r="C15" t="s">
        <v>49</v>
      </c>
      <c r="D15" t="s">
        <v>51</v>
      </c>
      <c r="E15" s="4" t="s">
        <v>50</v>
      </c>
      <c r="F15" t="s">
        <v>50</v>
      </c>
      <c r="G15" t="s">
        <v>188</v>
      </c>
    </row>
    <row r="16" spans="1:7" s="9" customFormat="1" x14ac:dyDescent="0.2">
      <c r="A16" s="9" t="s">
        <v>17</v>
      </c>
      <c r="B16" s="10">
        <v>0.45</v>
      </c>
      <c r="C16" s="9" t="s">
        <v>54</v>
      </c>
      <c r="D16" s="11" t="s">
        <v>118</v>
      </c>
      <c r="E16" s="10"/>
      <c r="G16" s="9" t="s">
        <v>189</v>
      </c>
    </row>
    <row r="17" spans="1:7" s="9" customFormat="1" x14ac:dyDescent="0.2">
      <c r="A17" s="9" t="s">
        <v>18</v>
      </c>
      <c r="B17" s="10">
        <v>0.6</v>
      </c>
      <c r="C17" s="9" t="s">
        <v>54</v>
      </c>
      <c r="D17" s="11" t="s">
        <v>118</v>
      </c>
      <c r="E17" s="10"/>
      <c r="G17" s="9" t="s">
        <v>190</v>
      </c>
    </row>
    <row r="18" spans="1:7" x14ac:dyDescent="0.2">
      <c r="A18" t="s">
        <v>19</v>
      </c>
      <c r="B18" s="4">
        <v>1.4</v>
      </c>
      <c r="C18" t="s">
        <v>54</v>
      </c>
      <c r="D18" t="s">
        <v>58</v>
      </c>
      <c r="E18" s="4">
        <v>14</v>
      </c>
      <c r="F18" t="s">
        <v>59</v>
      </c>
      <c r="G18" t="s">
        <v>191</v>
      </c>
    </row>
    <row r="19" spans="1:7" x14ac:dyDescent="0.2">
      <c r="A19" t="s">
        <v>20</v>
      </c>
      <c r="B19" s="4">
        <v>33.299999999999997</v>
      </c>
      <c r="C19" t="s">
        <v>55</v>
      </c>
      <c r="D19" t="s">
        <v>60</v>
      </c>
      <c r="E19" s="4" t="s">
        <v>113</v>
      </c>
      <c r="F19" t="s">
        <v>113</v>
      </c>
      <c r="G19" t="s">
        <v>192</v>
      </c>
    </row>
    <row r="20" spans="1:7" x14ac:dyDescent="0.2">
      <c r="A20" t="s">
        <v>21</v>
      </c>
      <c r="B20" s="4">
        <f>B16*1000000000/$B$19</f>
        <v>13513513.513513515</v>
      </c>
      <c r="C20" t="s">
        <v>119</v>
      </c>
      <c r="D20" t="s">
        <v>120</v>
      </c>
      <c r="E20" s="4" t="s">
        <v>121</v>
      </c>
      <c r="F20" t="s">
        <v>113</v>
      </c>
      <c r="G20" t="s">
        <v>113</v>
      </c>
    </row>
    <row r="21" spans="1:7" x14ac:dyDescent="0.2">
      <c r="A21" t="s">
        <v>22</v>
      </c>
      <c r="B21" s="4">
        <f>B17*1000000000/$B$19</f>
        <v>18018018.018018018</v>
      </c>
      <c r="C21" t="s">
        <v>119</v>
      </c>
      <c r="D21" t="s">
        <v>120</v>
      </c>
      <c r="E21" s="4" t="s">
        <v>121</v>
      </c>
      <c r="F21" t="s">
        <v>113</v>
      </c>
      <c r="G21" t="s">
        <v>113</v>
      </c>
    </row>
    <row r="22" spans="1:7" x14ac:dyDescent="0.2">
      <c r="A22" t="s">
        <v>23</v>
      </c>
      <c r="B22" s="4">
        <f>B18*1000000000/$B$19</f>
        <v>42042042.042042047</v>
      </c>
      <c r="C22" t="s">
        <v>119</v>
      </c>
      <c r="D22" t="s">
        <v>120</v>
      </c>
      <c r="E22" s="4" t="s">
        <v>121</v>
      </c>
      <c r="F22" t="s">
        <v>113</v>
      </c>
      <c r="G22" t="s">
        <v>113</v>
      </c>
    </row>
    <row r="23" spans="1:7" x14ac:dyDescent="0.2">
      <c r="A23" t="s">
        <v>24</v>
      </c>
      <c r="B23" s="4">
        <v>90</v>
      </c>
      <c r="C23" t="s">
        <v>35</v>
      </c>
      <c r="D23" t="s">
        <v>62</v>
      </c>
      <c r="E23" s="4">
        <v>17</v>
      </c>
      <c r="F23" t="s">
        <v>61</v>
      </c>
      <c r="G23" t="s">
        <v>193</v>
      </c>
    </row>
    <row r="24" spans="1:7" x14ac:dyDescent="0.2">
      <c r="A24" t="s">
        <v>131</v>
      </c>
      <c r="B24" s="4">
        <v>1</v>
      </c>
      <c r="C24" t="s">
        <v>35</v>
      </c>
      <c r="D24" t="s">
        <v>63</v>
      </c>
      <c r="E24" s="4">
        <v>6</v>
      </c>
      <c r="F24" t="s">
        <v>64</v>
      </c>
      <c r="G24" t="s">
        <v>194</v>
      </c>
    </row>
    <row r="25" spans="1:7" x14ac:dyDescent="0.2">
      <c r="A25" t="s">
        <v>25</v>
      </c>
      <c r="B25" s="4">
        <v>2</v>
      </c>
      <c r="C25" t="s">
        <v>56</v>
      </c>
      <c r="D25" t="s">
        <v>48</v>
      </c>
      <c r="E25" s="4" t="s">
        <v>53</v>
      </c>
      <c r="F25" t="s">
        <v>65</v>
      </c>
      <c r="G25" t="s">
        <v>196</v>
      </c>
    </row>
    <row r="26" spans="1:7" x14ac:dyDescent="0.2">
      <c r="A26" t="s">
        <v>57</v>
      </c>
      <c r="B26" s="4">
        <v>0.27</v>
      </c>
      <c r="C26" t="s">
        <v>113</v>
      </c>
      <c r="D26" t="s">
        <v>58</v>
      </c>
      <c r="E26" s="4">
        <v>14</v>
      </c>
      <c r="F26" t="s">
        <v>66</v>
      </c>
      <c r="G26" t="s">
        <v>195</v>
      </c>
    </row>
    <row r="27" spans="1:7" s="2" customFormat="1" x14ac:dyDescent="0.2">
      <c r="A27" s="2" t="s">
        <v>26</v>
      </c>
      <c r="B27" s="3"/>
      <c r="E27" s="3"/>
    </row>
    <row r="28" spans="1:7" x14ac:dyDescent="0.2">
      <c r="A28" t="s">
        <v>126</v>
      </c>
      <c r="B28" s="4">
        <v>30</v>
      </c>
      <c r="C28" t="s">
        <v>67</v>
      </c>
      <c r="D28" t="s">
        <v>68</v>
      </c>
      <c r="E28" s="4">
        <v>6</v>
      </c>
      <c r="F28" t="s">
        <v>44</v>
      </c>
      <c r="G28" t="s">
        <v>197</v>
      </c>
    </row>
    <row r="29" spans="1:7" s="6" customFormat="1" ht="133.5" customHeight="1" x14ac:dyDescent="0.2">
      <c r="A29" s="6" t="s">
        <v>125</v>
      </c>
      <c r="B29" s="7">
        <v>0.08</v>
      </c>
      <c r="C29" s="6" t="s">
        <v>113</v>
      </c>
      <c r="D29" s="8" t="s">
        <v>127</v>
      </c>
      <c r="E29" s="7">
        <v>2</v>
      </c>
      <c r="F29" s="6" t="s">
        <v>128</v>
      </c>
      <c r="G29" s="8" t="s">
        <v>129</v>
      </c>
    </row>
    <row r="30" spans="1:7" x14ac:dyDescent="0.2">
      <c r="A30" t="s">
        <v>27</v>
      </c>
      <c r="B30" s="5">
        <f>(B29*(1+B29)^B28)/((1+B29)^B28-1)</f>
        <v>8.8827433387272267E-2</v>
      </c>
      <c r="C30" t="s">
        <v>113</v>
      </c>
      <c r="D30" t="s">
        <v>69</v>
      </c>
      <c r="E30" s="4" t="s">
        <v>124</v>
      </c>
      <c r="F30" t="s">
        <v>70</v>
      </c>
      <c r="G30" t="s">
        <v>113</v>
      </c>
    </row>
    <row r="31" spans="1:7" x14ac:dyDescent="0.2">
      <c r="A31" t="s">
        <v>28</v>
      </c>
      <c r="B31" s="4">
        <v>1.7</v>
      </c>
      <c r="C31" t="s">
        <v>113</v>
      </c>
      <c r="D31" t="s">
        <v>71</v>
      </c>
      <c r="E31" s="4" t="s">
        <v>113</v>
      </c>
      <c r="F31" t="s">
        <v>72</v>
      </c>
      <c r="G31" t="s">
        <v>113</v>
      </c>
    </row>
    <row r="32" spans="1:7" x14ac:dyDescent="0.2">
      <c r="A32" t="s">
        <v>29</v>
      </c>
      <c r="B32" s="4">
        <v>28</v>
      </c>
      <c r="C32" t="s">
        <v>35</v>
      </c>
      <c r="D32" t="s">
        <v>122</v>
      </c>
      <c r="E32" s="4" t="s">
        <v>123</v>
      </c>
      <c r="G32" t="s">
        <v>198</v>
      </c>
    </row>
    <row r="33" spans="1:7" x14ac:dyDescent="0.2">
      <c r="A33" t="s">
        <v>30</v>
      </c>
      <c r="B33" s="4">
        <v>12</v>
      </c>
      <c r="C33" t="s">
        <v>35</v>
      </c>
      <c r="D33" t="s">
        <v>73</v>
      </c>
      <c r="E33" s="4">
        <v>17</v>
      </c>
      <c r="F33" t="s">
        <v>74</v>
      </c>
      <c r="G33" t="s">
        <v>199</v>
      </c>
    </row>
    <row r="34" spans="1:7" x14ac:dyDescent="0.2">
      <c r="A34" t="s">
        <v>75</v>
      </c>
      <c r="B34" s="4">
        <v>30</v>
      </c>
      <c r="C34" t="s">
        <v>67</v>
      </c>
      <c r="D34" t="s">
        <v>68</v>
      </c>
      <c r="E34" s="4">
        <v>6</v>
      </c>
      <c r="F34" t="s">
        <v>44</v>
      </c>
      <c r="G34" t="s">
        <v>113</v>
      </c>
    </row>
    <row r="35" spans="1:7" s="2" customFormat="1" x14ac:dyDescent="0.2">
      <c r="A35" s="2" t="s">
        <v>76</v>
      </c>
      <c r="B35" s="3"/>
      <c r="E35" s="3"/>
    </row>
    <row r="36" spans="1:7" x14ac:dyDescent="0.2">
      <c r="A36" t="s">
        <v>133</v>
      </c>
      <c r="B36" s="4">
        <v>0.62</v>
      </c>
      <c r="C36" t="s">
        <v>81</v>
      </c>
      <c r="D36" t="s">
        <v>73</v>
      </c>
      <c r="E36" s="4">
        <v>16</v>
      </c>
      <c r="F36" t="s">
        <v>86</v>
      </c>
      <c r="G36" t="s">
        <v>200</v>
      </c>
    </row>
    <row r="37" spans="1:7" x14ac:dyDescent="0.2">
      <c r="A37" t="s">
        <v>134</v>
      </c>
      <c r="B37" s="4">
        <v>0.49</v>
      </c>
      <c r="C37" t="s">
        <v>81</v>
      </c>
      <c r="D37" t="s">
        <v>73</v>
      </c>
      <c r="E37" s="4">
        <v>16</v>
      </c>
      <c r="F37" t="s">
        <v>86</v>
      </c>
      <c r="G37" t="s">
        <v>201</v>
      </c>
    </row>
    <row r="38" spans="1:7" x14ac:dyDescent="0.2">
      <c r="A38" t="s">
        <v>132</v>
      </c>
      <c r="B38" s="4">
        <v>0.35</v>
      </c>
      <c r="C38" t="s">
        <v>81</v>
      </c>
      <c r="D38" t="s">
        <v>73</v>
      </c>
      <c r="E38" s="4">
        <v>16</v>
      </c>
      <c r="F38" t="s">
        <v>88</v>
      </c>
      <c r="G38" t="s">
        <v>202</v>
      </c>
    </row>
    <row r="39" spans="1:7" x14ac:dyDescent="0.2">
      <c r="A39" t="s">
        <v>135</v>
      </c>
      <c r="B39" s="4">
        <v>6.51</v>
      </c>
      <c r="C39" t="s">
        <v>82</v>
      </c>
      <c r="D39" t="s">
        <v>73</v>
      </c>
      <c r="E39" s="4">
        <v>16</v>
      </c>
      <c r="F39" t="s">
        <v>87</v>
      </c>
      <c r="G39" t="s">
        <v>203</v>
      </c>
    </row>
    <row r="40" spans="1:7" x14ac:dyDescent="0.2">
      <c r="A40" t="s">
        <v>136</v>
      </c>
      <c r="B40" s="4">
        <v>1.68</v>
      </c>
      <c r="C40" t="s">
        <v>82</v>
      </c>
      <c r="D40" t="s">
        <v>73</v>
      </c>
      <c r="E40" s="4">
        <v>16</v>
      </c>
      <c r="F40" t="s">
        <v>87</v>
      </c>
      <c r="G40" t="s">
        <v>204</v>
      </c>
    </row>
    <row r="41" spans="1:7" x14ac:dyDescent="0.2">
      <c r="A41" t="s">
        <v>137</v>
      </c>
      <c r="B41" s="4">
        <v>90000</v>
      </c>
      <c r="C41" t="s">
        <v>83</v>
      </c>
      <c r="D41" t="s">
        <v>73</v>
      </c>
      <c r="E41" s="4">
        <v>16</v>
      </c>
      <c r="F41" t="s">
        <v>89</v>
      </c>
      <c r="G41" t="s">
        <v>205</v>
      </c>
    </row>
    <row r="42" spans="1:7" x14ac:dyDescent="0.2">
      <c r="A42" t="s">
        <v>138</v>
      </c>
      <c r="B42" s="4">
        <v>50000</v>
      </c>
      <c r="C42" t="s">
        <v>83</v>
      </c>
      <c r="D42" t="s">
        <v>73</v>
      </c>
      <c r="E42" s="4">
        <v>16</v>
      </c>
      <c r="F42" t="s">
        <v>89</v>
      </c>
      <c r="G42" t="s">
        <v>206</v>
      </c>
    </row>
    <row r="43" spans="1:7" x14ac:dyDescent="0.2">
      <c r="A43" t="s">
        <v>77</v>
      </c>
      <c r="B43" s="4">
        <v>23815</v>
      </c>
      <c r="C43" t="s">
        <v>83</v>
      </c>
      <c r="D43" t="s">
        <v>73</v>
      </c>
      <c r="E43" s="4">
        <v>16</v>
      </c>
      <c r="F43" t="s">
        <v>90</v>
      </c>
      <c r="G43" t="s">
        <v>207</v>
      </c>
    </row>
    <row r="44" spans="1:7" x14ac:dyDescent="0.2">
      <c r="A44" t="s">
        <v>139</v>
      </c>
      <c r="B44" s="4">
        <v>60</v>
      </c>
      <c r="C44" t="s">
        <v>84</v>
      </c>
      <c r="D44" t="s">
        <v>73</v>
      </c>
      <c r="E44" s="4">
        <v>16</v>
      </c>
      <c r="F44" t="s">
        <v>91</v>
      </c>
      <c r="G44" t="s">
        <v>208</v>
      </c>
    </row>
    <row r="45" spans="1:7" x14ac:dyDescent="0.2">
      <c r="A45" t="s">
        <v>140</v>
      </c>
      <c r="B45" s="4">
        <v>60</v>
      </c>
      <c r="C45" t="s">
        <v>84</v>
      </c>
      <c r="D45" t="s">
        <v>73</v>
      </c>
      <c r="E45" s="4">
        <v>16</v>
      </c>
      <c r="F45" t="s">
        <v>91</v>
      </c>
      <c r="G45" t="s">
        <v>209</v>
      </c>
    </row>
    <row r="46" spans="1:7" x14ac:dyDescent="0.2">
      <c r="A46" t="s">
        <v>141</v>
      </c>
      <c r="B46" s="4" t="s">
        <v>79</v>
      </c>
      <c r="C46" t="s">
        <v>85</v>
      </c>
      <c r="D46" t="s">
        <v>73</v>
      </c>
      <c r="E46" s="4">
        <v>16</v>
      </c>
      <c r="F46" t="s">
        <v>92</v>
      </c>
      <c r="G46" t="s">
        <v>113</v>
      </c>
    </row>
    <row r="47" spans="1:7" x14ac:dyDescent="0.2">
      <c r="A47" t="s">
        <v>142</v>
      </c>
      <c r="B47" s="4" t="s">
        <v>80</v>
      </c>
      <c r="C47" t="s">
        <v>85</v>
      </c>
      <c r="D47" t="s">
        <v>73</v>
      </c>
      <c r="E47" s="4">
        <v>16</v>
      </c>
      <c r="F47" t="s">
        <v>92</v>
      </c>
      <c r="G47" t="s">
        <v>210</v>
      </c>
    </row>
    <row r="48" spans="1:7" x14ac:dyDescent="0.2">
      <c r="A48" t="s">
        <v>214</v>
      </c>
      <c r="B48" s="4">
        <v>170</v>
      </c>
      <c r="C48" t="s">
        <v>215</v>
      </c>
      <c r="D48" t="s">
        <v>216</v>
      </c>
      <c r="E48" s="4" t="s">
        <v>217</v>
      </c>
      <c r="F48" t="s">
        <v>211</v>
      </c>
      <c r="G48" t="s">
        <v>211</v>
      </c>
    </row>
    <row r="49" spans="1:7" x14ac:dyDescent="0.2">
      <c r="A49" t="s">
        <v>78</v>
      </c>
      <c r="B49" s="4">
        <v>50</v>
      </c>
      <c r="C49" t="s">
        <v>35</v>
      </c>
      <c r="D49" t="s">
        <v>68</v>
      </c>
      <c r="E49" s="4">
        <v>3</v>
      </c>
      <c r="F49" t="s">
        <v>93</v>
      </c>
      <c r="G49" t="s">
        <v>212</v>
      </c>
    </row>
    <row r="50" spans="1:7" x14ac:dyDescent="0.2">
      <c r="A50" t="s">
        <v>143</v>
      </c>
      <c r="B50" s="4">
        <v>3.2</v>
      </c>
      <c r="C50" t="s">
        <v>85</v>
      </c>
      <c r="D50" t="s">
        <v>73</v>
      </c>
      <c r="E50" s="4">
        <v>16</v>
      </c>
      <c r="F50" t="s">
        <v>144</v>
      </c>
      <c r="G50" t="s">
        <v>213</v>
      </c>
    </row>
    <row r="51" spans="1:7" s="2" customFormat="1" x14ac:dyDescent="0.2">
      <c r="A51" s="2" t="s">
        <v>94</v>
      </c>
      <c r="B51" s="3"/>
      <c r="E51" s="3"/>
    </row>
    <row r="52" spans="1:7" x14ac:dyDescent="0.2">
      <c r="A52" t="s">
        <v>95</v>
      </c>
      <c r="B52" s="4">
        <v>4.43</v>
      </c>
      <c r="C52" t="s">
        <v>101</v>
      </c>
      <c r="D52" t="s">
        <v>73</v>
      </c>
      <c r="E52" s="4">
        <v>17</v>
      </c>
      <c r="F52" t="s">
        <v>103</v>
      </c>
      <c r="G52" t="s">
        <v>218</v>
      </c>
    </row>
    <row r="53" spans="1:7" x14ac:dyDescent="0.2">
      <c r="A53" t="s">
        <v>145</v>
      </c>
      <c r="B53" s="4">
        <v>0.76</v>
      </c>
      <c r="C53" t="s">
        <v>101</v>
      </c>
      <c r="D53" t="s">
        <v>102</v>
      </c>
      <c r="E53" s="4">
        <v>17</v>
      </c>
      <c r="F53" t="s">
        <v>45</v>
      </c>
      <c r="G53" t="s">
        <v>219</v>
      </c>
    </row>
    <row r="54" spans="1:7" x14ac:dyDescent="0.2">
      <c r="A54" t="s">
        <v>96</v>
      </c>
      <c r="B54" s="4">
        <v>0.37</v>
      </c>
      <c r="C54" t="s">
        <v>101</v>
      </c>
      <c r="D54" t="s">
        <v>73</v>
      </c>
      <c r="E54" s="4">
        <v>17</v>
      </c>
      <c r="F54" t="s">
        <v>104</v>
      </c>
      <c r="G54" t="s">
        <v>113</v>
      </c>
    </row>
    <row r="55" spans="1:7" x14ac:dyDescent="0.2">
      <c r="A55" t="s">
        <v>97</v>
      </c>
      <c r="B55" s="4">
        <v>0.44</v>
      </c>
      <c r="C55" t="s">
        <v>101</v>
      </c>
      <c r="D55" t="s">
        <v>73</v>
      </c>
      <c r="E55" s="4">
        <v>17</v>
      </c>
      <c r="F55" t="s">
        <v>104</v>
      </c>
      <c r="G55" t="s">
        <v>220</v>
      </c>
    </row>
    <row r="56" spans="1:7" x14ac:dyDescent="0.2">
      <c r="A56" t="s">
        <v>98</v>
      </c>
      <c r="B56" s="4">
        <v>2.16</v>
      </c>
      <c r="C56" t="s">
        <v>101</v>
      </c>
      <c r="D56" t="s">
        <v>73</v>
      </c>
      <c r="E56" s="4">
        <v>17</v>
      </c>
      <c r="F56" t="s">
        <v>105</v>
      </c>
      <c r="G56" t="s">
        <v>221</v>
      </c>
    </row>
    <row r="57" spans="1:7" x14ac:dyDescent="0.2">
      <c r="A57" t="s">
        <v>99</v>
      </c>
      <c r="B57" s="4">
        <v>1.4</v>
      </c>
      <c r="C57" t="s">
        <v>101</v>
      </c>
      <c r="D57" t="s">
        <v>73</v>
      </c>
      <c r="E57" s="4">
        <v>17</v>
      </c>
      <c r="F57" t="s">
        <v>106</v>
      </c>
      <c r="G57" t="s">
        <v>113</v>
      </c>
    </row>
    <row r="58" spans="1:7" x14ac:dyDescent="0.2">
      <c r="A58" t="s">
        <v>100</v>
      </c>
      <c r="B58" s="4">
        <v>0.56000000000000005</v>
      </c>
      <c r="C58" t="s">
        <v>101</v>
      </c>
      <c r="D58" t="s">
        <v>73</v>
      </c>
      <c r="E58" s="4">
        <v>17</v>
      </c>
      <c r="F58" t="s">
        <v>107</v>
      </c>
      <c r="G58" t="s">
        <v>113</v>
      </c>
    </row>
    <row r="59" spans="1:7" s="2" customFormat="1" x14ac:dyDescent="0.2">
      <c r="A59" s="2" t="s">
        <v>146</v>
      </c>
      <c r="B59" s="3"/>
      <c r="E59" s="3"/>
    </row>
    <row r="60" spans="1:7" x14ac:dyDescent="0.2">
      <c r="A60" t="s">
        <v>31</v>
      </c>
      <c r="B60" s="4">
        <v>2.2000000000000002</v>
      </c>
      <c r="C60" t="s">
        <v>111</v>
      </c>
      <c r="D60" t="s">
        <v>112</v>
      </c>
      <c r="E60" s="4">
        <v>6</v>
      </c>
      <c r="F60" t="s">
        <v>44</v>
      </c>
      <c r="G60" t="s">
        <v>560</v>
      </c>
    </row>
    <row r="61" spans="1:7" s="9" customFormat="1" ht="32" x14ac:dyDescent="0.2">
      <c r="A61" s="9" t="s">
        <v>147</v>
      </c>
      <c r="B61" s="10">
        <v>100</v>
      </c>
      <c r="C61" s="9" t="s">
        <v>115</v>
      </c>
      <c r="D61" s="12" t="s">
        <v>149</v>
      </c>
      <c r="E61" s="10">
        <v>48</v>
      </c>
      <c r="F61" s="9" t="s">
        <v>153</v>
      </c>
      <c r="G61" s="9" t="s">
        <v>222</v>
      </c>
    </row>
    <row r="62" spans="1:7" s="9" customFormat="1" ht="32" x14ac:dyDescent="0.2">
      <c r="A62" s="9" t="s">
        <v>155</v>
      </c>
      <c r="B62" s="10">
        <v>70</v>
      </c>
      <c r="C62" s="9" t="s">
        <v>115</v>
      </c>
      <c r="D62" s="12" t="s">
        <v>150</v>
      </c>
      <c r="E62" s="10">
        <v>48</v>
      </c>
      <c r="F62" s="9" t="s">
        <v>153</v>
      </c>
      <c r="G62" s="9" t="s">
        <v>223</v>
      </c>
    </row>
    <row r="63" spans="1:7" s="9" customFormat="1" ht="32" x14ac:dyDescent="0.2">
      <c r="A63" s="9" t="s">
        <v>156</v>
      </c>
      <c r="B63" s="10">
        <v>150</v>
      </c>
      <c r="C63" s="9" t="s">
        <v>115</v>
      </c>
      <c r="D63" s="12" t="s">
        <v>151</v>
      </c>
      <c r="E63" s="10">
        <v>48</v>
      </c>
      <c r="F63" s="9" t="s">
        <v>153</v>
      </c>
      <c r="G63" s="9" t="s">
        <v>224</v>
      </c>
    </row>
    <row r="64" spans="1:7" s="9" customFormat="1" ht="16" x14ac:dyDescent="0.2">
      <c r="A64" s="9" t="s">
        <v>157</v>
      </c>
      <c r="B64" s="10">
        <v>250</v>
      </c>
      <c r="C64" s="9" t="s">
        <v>115</v>
      </c>
      <c r="D64" s="12" t="s">
        <v>152</v>
      </c>
      <c r="E64" s="10" t="s">
        <v>154</v>
      </c>
      <c r="F64" s="9" t="s">
        <v>113</v>
      </c>
      <c r="G64" s="9" t="s">
        <v>559</v>
      </c>
    </row>
    <row r="65" spans="1:7" s="9" customFormat="1" x14ac:dyDescent="0.2">
      <c r="A65" s="9" t="s">
        <v>148</v>
      </c>
      <c r="B65" s="10">
        <f>B61/1000</f>
        <v>0.1</v>
      </c>
      <c r="C65" s="9" t="s">
        <v>116</v>
      </c>
      <c r="D65" s="9" t="s">
        <v>117</v>
      </c>
      <c r="E65" s="10" t="s">
        <v>113</v>
      </c>
      <c r="F65" s="9" t="s">
        <v>113</v>
      </c>
      <c r="G65" s="9" t="s">
        <v>113</v>
      </c>
    </row>
    <row r="66" spans="1:7" x14ac:dyDescent="0.2">
      <c r="A66" t="s">
        <v>108</v>
      </c>
      <c r="B66" s="4">
        <v>66</v>
      </c>
      <c r="C66" t="s">
        <v>109</v>
      </c>
      <c r="D66" t="s">
        <v>558</v>
      </c>
      <c r="E66" s="4">
        <v>3</v>
      </c>
      <c r="F66" t="s">
        <v>113</v>
      </c>
      <c r="G66" s="9" t="s">
        <v>113</v>
      </c>
    </row>
    <row r="68" spans="1:7" s="2" customFormat="1" x14ac:dyDescent="0.2">
      <c r="A68" s="2" t="s">
        <v>158</v>
      </c>
      <c r="B68" s="3"/>
      <c r="E68" s="3"/>
    </row>
    <row r="69" spans="1:7" x14ac:dyDescent="0.2">
      <c r="A69" t="s">
        <v>159</v>
      </c>
      <c r="B69" s="13" t="s">
        <v>163</v>
      </c>
      <c r="C69" t="s">
        <v>110</v>
      </c>
      <c r="D69" t="s">
        <v>165</v>
      </c>
      <c r="E69" s="4">
        <v>41</v>
      </c>
      <c r="F69" t="s">
        <v>167</v>
      </c>
      <c r="G69" t="s">
        <v>225</v>
      </c>
    </row>
    <row r="70" spans="1:7" x14ac:dyDescent="0.2">
      <c r="A70" t="s">
        <v>160</v>
      </c>
      <c r="B70" s="4" t="s">
        <v>164</v>
      </c>
      <c r="C70" t="s">
        <v>110</v>
      </c>
      <c r="D70" t="s">
        <v>165</v>
      </c>
      <c r="E70" s="4">
        <v>41</v>
      </c>
      <c r="F70" t="s">
        <v>167</v>
      </c>
      <c r="G70" t="s">
        <v>226</v>
      </c>
    </row>
    <row r="71" spans="1:7" x14ac:dyDescent="0.2">
      <c r="A71" t="s">
        <v>161</v>
      </c>
      <c r="B71" s="4">
        <v>8</v>
      </c>
      <c r="C71" t="s">
        <v>110</v>
      </c>
      <c r="D71" t="s">
        <v>166</v>
      </c>
      <c r="E71" s="4" t="s">
        <v>168</v>
      </c>
      <c r="G71" t="s">
        <v>227</v>
      </c>
    </row>
    <row r="72" spans="1:7" x14ac:dyDescent="0.2">
      <c r="A72" t="s">
        <v>162</v>
      </c>
      <c r="B72" s="4">
        <v>2</v>
      </c>
      <c r="C72" t="s">
        <v>110</v>
      </c>
      <c r="D72" t="s">
        <v>166</v>
      </c>
      <c r="E72" s="4" t="s">
        <v>168</v>
      </c>
      <c r="G72" t="s">
        <v>228</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74EB-AE6D-49D3-B912-2E653FC10180}">
  <dimension ref="A1:G35"/>
  <sheetViews>
    <sheetView workbookViewId="0"/>
  </sheetViews>
  <sheetFormatPr baseColWidth="10" defaultColWidth="39" defaultRowHeight="15" x14ac:dyDescent="0.2"/>
  <cols>
    <col min="1" max="1" width="41.83203125" customWidth="1"/>
    <col min="6" max="6" width="48.6640625" customWidth="1"/>
  </cols>
  <sheetData>
    <row r="1" spans="1:7" s="14" customFormat="1" x14ac:dyDescent="0.2">
      <c r="A1" s="14" t="s">
        <v>257</v>
      </c>
    </row>
    <row r="2" spans="1:7" s="15" customFormat="1" x14ac:dyDescent="0.2">
      <c r="A2" s="15" t="s">
        <v>329</v>
      </c>
    </row>
    <row r="3" spans="1:7" s="23" customFormat="1" x14ac:dyDescent="0.2">
      <c r="A3" s="22" t="s">
        <v>260</v>
      </c>
    </row>
    <row r="4" spans="1:7" s="18" customFormat="1" x14ac:dyDescent="0.2">
      <c r="A4" s="18" t="s">
        <v>230</v>
      </c>
      <c r="B4" s="18" t="s">
        <v>231</v>
      </c>
      <c r="C4" s="18" t="s">
        <v>261</v>
      </c>
      <c r="D4" s="18" t="s">
        <v>232</v>
      </c>
      <c r="E4" s="18" t="s">
        <v>233</v>
      </c>
      <c r="F4" s="18" t="s">
        <v>114</v>
      </c>
      <c r="G4" s="18" t="s">
        <v>3</v>
      </c>
    </row>
    <row r="5" spans="1:7" s="17" customFormat="1" x14ac:dyDescent="0.2">
      <c r="A5" s="17" t="s">
        <v>234</v>
      </c>
    </row>
    <row r="6" spans="1:7" x14ac:dyDescent="0.2">
      <c r="A6" t="s">
        <v>330</v>
      </c>
      <c r="B6">
        <v>0.62</v>
      </c>
      <c r="C6">
        <f>B6*'S1_LCOH Assumptions'!$B$31</f>
        <v>1.054</v>
      </c>
      <c r="D6">
        <v>2</v>
      </c>
      <c r="E6">
        <f>C6*D6</f>
        <v>2.1080000000000001</v>
      </c>
      <c r="F6" t="s">
        <v>200</v>
      </c>
      <c r="G6" t="s">
        <v>235</v>
      </c>
    </row>
    <row r="7" spans="1:7" x14ac:dyDescent="0.2">
      <c r="A7" t="s">
        <v>331</v>
      </c>
      <c r="B7">
        <v>0.49</v>
      </c>
      <c r="C7">
        <f>B7*'S1_LCOH Assumptions'!$B$31</f>
        <v>0.83299999999999996</v>
      </c>
      <c r="D7">
        <v>2</v>
      </c>
      <c r="E7">
        <f>C7*D7</f>
        <v>1.6659999999999999</v>
      </c>
      <c r="F7" t="s">
        <v>201</v>
      </c>
      <c r="G7" t="s">
        <v>235</v>
      </c>
    </row>
    <row r="8" spans="1:7" x14ac:dyDescent="0.2">
      <c r="A8" t="s">
        <v>236</v>
      </c>
      <c r="B8">
        <v>0.35</v>
      </c>
      <c r="C8">
        <f>B8*'S1_LCOH Assumptions'!$B$31</f>
        <v>0.59499999999999997</v>
      </c>
      <c r="D8">
        <v>4</v>
      </c>
      <c r="E8">
        <f>C8*D8</f>
        <v>2.38</v>
      </c>
      <c r="F8" t="s">
        <v>237</v>
      </c>
      <c r="G8" t="s">
        <v>238</v>
      </c>
    </row>
    <row r="9" spans="1:7" s="17" customFormat="1" x14ac:dyDescent="0.2">
      <c r="A9" s="17" t="s">
        <v>239</v>
      </c>
      <c r="E9" s="16"/>
    </row>
    <row r="10" spans="1:7" x14ac:dyDescent="0.2">
      <c r="A10" t="s">
        <v>240</v>
      </c>
      <c r="B10">
        <v>6.51</v>
      </c>
      <c r="C10">
        <f>B10*'S1_LCOH Assumptions'!$B$31</f>
        <v>11.067</v>
      </c>
      <c r="D10">
        <v>1</v>
      </c>
      <c r="E10">
        <f>C10*D10</f>
        <v>11.067</v>
      </c>
      <c r="F10" t="s">
        <v>203</v>
      </c>
      <c r="G10" t="s">
        <v>241</v>
      </c>
    </row>
    <row r="11" spans="1:7" x14ac:dyDescent="0.2">
      <c r="A11" t="s">
        <v>242</v>
      </c>
      <c r="B11">
        <v>1.68</v>
      </c>
      <c r="C11">
        <f>B11*'S1_LCOH Assumptions'!$B$31</f>
        <v>2.8559999999999999</v>
      </c>
      <c r="D11">
        <v>1</v>
      </c>
      <c r="E11">
        <f>C11*D11</f>
        <v>2.8559999999999999</v>
      </c>
      <c r="F11" t="s">
        <v>204</v>
      </c>
      <c r="G11" t="s">
        <v>241</v>
      </c>
    </row>
    <row r="12" spans="1:7" s="17" customFormat="1" x14ac:dyDescent="0.2">
      <c r="A12" s="17" t="s">
        <v>243</v>
      </c>
      <c r="E12" s="16"/>
    </row>
    <row r="13" spans="1:7" x14ac:dyDescent="0.2">
      <c r="A13" t="s">
        <v>258</v>
      </c>
      <c r="B13">
        <f>90000*170/1000000</f>
        <v>15.3</v>
      </c>
      <c r="C13">
        <f>B13*'S1_LCOH Assumptions'!$B$31</f>
        <v>26.01</v>
      </c>
      <c r="D13">
        <v>1</v>
      </c>
      <c r="E13">
        <f>C13*D13</f>
        <v>26.01</v>
      </c>
      <c r="F13" t="s">
        <v>556</v>
      </c>
      <c r="G13" t="s">
        <v>244</v>
      </c>
    </row>
    <row r="14" spans="1:7" x14ac:dyDescent="0.2">
      <c r="A14" t="s">
        <v>77</v>
      </c>
      <c r="B14">
        <f>23815*170/1000000</f>
        <v>4.0485499999999996</v>
      </c>
      <c r="C14">
        <f>B14*'S1_LCOH Assumptions'!$B$31</f>
        <v>6.882534999999999</v>
      </c>
      <c r="D14">
        <v>1</v>
      </c>
      <c r="E14">
        <f>C14*D14</f>
        <v>6.882534999999999</v>
      </c>
      <c r="F14" t="s">
        <v>557</v>
      </c>
      <c r="G14" t="s">
        <v>245</v>
      </c>
    </row>
    <row r="15" spans="1:7" s="17" customFormat="1" x14ac:dyDescent="0.2">
      <c r="A15" s="17" t="s">
        <v>262</v>
      </c>
      <c r="E15" s="16"/>
    </row>
    <row r="16" spans="1:7" x14ac:dyDescent="0.2">
      <c r="A16" t="s">
        <v>247</v>
      </c>
      <c r="B16">
        <f>0.12*(SUM(B6:B14))</f>
        <v>3.4798260000000001</v>
      </c>
      <c r="C16">
        <f>B16*'S1_LCOH Assumptions'!$B$31</f>
        <v>5.9157042000000004</v>
      </c>
      <c r="D16">
        <v>1</v>
      </c>
      <c r="E16">
        <f>C16*D16</f>
        <v>5.9157042000000004</v>
      </c>
      <c r="F16" t="s">
        <v>248</v>
      </c>
      <c r="G16" t="s">
        <v>249</v>
      </c>
    </row>
    <row r="17" spans="1:7" x14ac:dyDescent="0.2">
      <c r="A17" s="19" t="s">
        <v>250</v>
      </c>
      <c r="B17" s="19">
        <f>SUM(E6:E16)</f>
        <v>58.885239200000001</v>
      </c>
      <c r="C17" s="19"/>
    </row>
    <row r="18" spans="1:7" x14ac:dyDescent="0.2">
      <c r="A18" s="19" t="s">
        <v>251</v>
      </c>
      <c r="B18" s="19">
        <f>B17*1000000</f>
        <v>58885239.200000003</v>
      </c>
      <c r="C18" s="20" t="s">
        <v>252</v>
      </c>
    </row>
    <row r="20" spans="1:7" x14ac:dyDescent="0.2">
      <c r="A20" s="24" t="s">
        <v>269</v>
      </c>
    </row>
    <row r="21" spans="1:7" x14ac:dyDescent="0.2">
      <c r="A21" t="s">
        <v>555</v>
      </c>
    </row>
    <row r="22" spans="1:7" x14ac:dyDescent="0.2">
      <c r="A22" t="s">
        <v>264</v>
      </c>
    </row>
    <row r="23" spans="1:7" x14ac:dyDescent="0.2">
      <c r="A23" t="s">
        <v>263</v>
      </c>
    </row>
    <row r="24" spans="1:7" x14ac:dyDescent="0.2">
      <c r="A24" t="s">
        <v>265</v>
      </c>
    </row>
    <row r="26" spans="1:7" s="17" customFormat="1" x14ac:dyDescent="0.2">
      <c r="A26" s="17" t="s">
        <v>266</v>
      </c>
      <c r="E26" s="16"/>
    </row>
    <row r="27" spans="1:7" x14ac:dyDescent="0.2">
      <c r="A27" t="s">
        <v>267</v>
      </c>
      <c r="B27">
        <v>15.5</v>
      </c>
      <c r="C27">
        <f>B27*1.7</f>
        <v>26.349999999999998</v>
      </c>
      <c r="D27">
        <v>1</v>
      </c>
      <c r="E27">
        <f>C27*D27</f>
        <v>26.349999999999998</v>
      </c>
      <c r="F27" t="s">
        <v>271</v>
      </c>
      <c r="G27" t="s">
        <v>246</v>
      </c>
    </row>
    <row r="28" spans="1:7" x14ac:dyDescent="0.2">
      <c r="A28" t="s">
        <v>268</v>
      </c>
      <c r="B28">
        <v>14.06</v>
      </c>
      <c r="C28">
        <f>B28*1.7</f>
        <v>23.902000000000001</v>
      </c>
      <c r="D28">
        <v>1</v>
      </c>
      <c r="E28">
        <f>C28*D28</f>
        <v>23.902000000000001</v>
      </c>
      <c r="F28" t="s">
        <v>271</v>
      </c>
      <c r="G28" t="s">
        <v>246</v>
      </c>
    </row>
    <row r="29" spans="1:7" x14ac:dyDescent="0.2">
      <c r="A29" t="s">
        <v>270</v>
      </c>
      <c r="B29">
        <f>SUM(E27:E28)</f>
        <v>50.251999999999995</v>
      </c>
      <c r="F29" t="s">
        <v>271</v>
      </c>
      <c r="G29" t="s">
        <v>246</v>
      </c>
    </row>
    <row r="31" spans="1:7" s="21" customFormat="1" x14ac:dyDescent="0.2">
      <c r="A31" s="21" t="s">
        <v>259</v>
      </c>
    </row>
    <row r="32" spans="1:7" s="17" customFormat="1" x14ac:dyDescent="0.2">
      <c r="A32" s="17" t="s">
        <v>253</v>
      </c>
      <c r="B32" s="17" t="s">
        <v>272</v>
      </c>
      <c r="C32" s="17" t="s">
        <v>273</v>
      </c>
      <c r="D32" s="17" t="s">
        <v>274</v>
      </c>
      <c r="E32" s="17" t="s">
        <v>275</v>
      </c>
    </row>
    <row r="33" spans="1:5" x14ac:dyDescent="0.2">
      <c r="A33" t="s">
        <v>254</v>
      </c>
      <c r="B33">
        <v>15</v>
      </c>
      <c r="C33">
        <f>(B33-B34)*B29/100</f>
        <v>-22.613399999999999</v>
      </c>
      <c r="D33">
        <f>$B$17</f>
        <v>58.885239200000001</v>
      </c>
      <c r="E33" s="25">
        <f>D33-C33</f>
        <v>81.4986392</v>
      </c>
    </row>
    <row r="34" spans="1:5" x14ac:dyDescent="0.2">
      <c r="A34" t="s">
        <v>255</v>
      </c>
      <c r="B34">
        <v>60</v>
      </c>
      <c r="C34">
        <f>(B35-B34)*B30/100</f>
        <v>0</v>
      </c>
      <c r="D34">
        <f>$B$17</f>
        <v>58.885239200000001</v>
      </c>
      <c r="E34" s="25">
        <f>D34-C34</f>
        <v>58.885239200000001</v>
      </c>
    </row>
    <row r="35" spans="1:5" x14ac:dyDescent="0.2">
      <c r="A35" t="s">
        <v>256</v>
      </c>
      <c r="B35">
        <v>70</v>
      </c>
      <c r="C35">
        <f>(B35-B34)*B29/100</f>
        <v>5.0251999999999999</v>
      </c>
      <c r="D35">
        <f>$B$17</f>
        <v>58.885239200000001</v>
      </c>
      <c r="E35" s="25">
        <f>D35-C35</f>
        <v>53.860039200000003</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C8A9-4BC3-488C-822D-A98EA3835B84}">
  <dimension ref="A1:E31"/>
  <sheetViews>
    <sheetView workbookViewId="0"/>
  </sheetViews>
  <sheetFormatPr baseColWidth="10" defaultColWidth="40.5" defaultRowHeight="15" x14ac:dyDescent="0.2"/>
  <cols>
    <col min="1" max="1" width="49.6640625" customWidth="1"/>
  </cols>
  <sheetData>
    <row r="1" spans="1:5" s="14" customFormat="1" x14ac:dyDescent="0.2">
      <c r="A1" s="14" t="s">
        <v>276</v>
      </c>
    </row>
    <row r="2" spans="1:5" s="26" customFormat="1" x14ac:dyDescent="0.2">
      <c r="A2" s="26" t="s">
        <v>277</v>
      </c>
    </row>
    <row r="3" spans="1:5" s="27" customFormat="1" x14ac:dyDescent="0.2">
      <c r="A3" s="27" t="s">
        <v>0</v>
      </c>
      <c r="B3" s="27" t="s">
        <v>1</v>
      </c>
      <c r="C3" s="27" t="s">
        <v>2</v>
      </c>
      <c r="D3" s="27" t="s">
        <v>3</v>
      </c>
      <c r="E3" s="27" t="s">
        <v>279</v>
      </c>
    </row>
    <row r="4" spans="1:5" x14ac:dyDescent="0.2">
      <c r="A4" t="s">
        <v>278</v>
      </c>
      <c r="B4">
        <v>100000</v>
      </c>
      <c r="C4" t="s">
        <v>283</v>
      </c>
      <c r="D4" s="28" t="s">
        <v>281</v>
      </c>
      <c r="E4" t="s">
        <v>280</v>
      </c>
    </row>
    <row r="5" spans="1:5" x14ac:dyDescent="0.2">
      <c r="A5" t="s">
        <v>286</v>
      </c>
      <c r="B5">
        <v>300</v>
      </c>
      <c r="C5" t="s">
        <v>288</v>
      </c>
      <c r="D5" s="29" t="s">
        <v>290</v>
      </c>
    </row>
    <row r="6" spans="1:5" x14ac:dyDescent="0.2">
      <c r="A6" t="s">
        <v>287</v>
      </c>
      <c r="B6">
        <v>90</v>
      </c>
      <c r="C6" t="s">
        <v>288</v>
      </c>
      <c r="D6" s="30" t="s">
        <v>48</v>
      </c>
    </row>
    <row r="7" spans="1:5" x14ac:dyDescent="0.2">
      <c r="A7" t="s">
        <v>289</v>
      </c>
      <c r="B7">
        <f>B6/B5</f>
        <v>0.3</v>
      </c>
      <c r="D7" s="28"/>
    </row>
    <row r="8" spans="1:5" ht="32" x14ac:dyDescent="0.2">
      <c r="A8" t="s">
        <v>282</v>
      </c>
      <c r="B8">
        <f>'S1_LCOH Assumptions'!B61</f>
        <v>100</v>
      </c>
      <c r="C8" t="s">
        <v>115</v>
      </c>
      <c r="D8" s="12" t="s">
        <v>149</v>
      </c>
      <c r="E8" t="s">
        <v>222</v>
      </c>
    </row>
    <row r="9" spans="1:5" s="26" customFormat="1" x14ac:dyDescent="0.2">
      <c r="A9" s="26" t="s">
        <v>284</v>
      </c>
    </row>
    <row r="10" spans="1:5" s="32" customFormat="1" x14ac:dyDescent="0.2">
      <c r="A10" s="32" t="s">
        <v>230</v>
      </c>
      <c r="B10" s="32" t="s">
        <v>285</v>
      </c>
      <c r="C10" s="32" t="s">
        <v>327</v>
      </c>
      <c r="D10" s="32" t="s">
        <v>114</v>
      </c>
      <c r="E10" s="32" t="s">
        <v>3</v>
      </c>
    </row>
    <row r="11" spans="1:5" s="27" customFormat="1" x14ac:dyDescent="0.2">
      <c r="A11" s="27" t="s">
        <v>322</v>
      </c>
    </row>
    <row r="12" spans="1:5" x14ac:dyDescent="0.2">
      <c r="A12" t="s">
        <v>95</v>
      </c>
      <c r="B12">
        <v>4.43</v>
      </c>
      <c r="C12">
        <f>B12*B7*'S1_LCOH Assumptions'!B31</f>
        <v>2.2593000000000001</v>
      </c>
      <c r="D12" t="s">
        <v>291</v>
      </c>
      <c r="E12" t="s">
        <v>292</v>
      </c>
    </row>
    <row r="13" spans="1:5" s="27" customFormat="1" x14ac:dyDescent="0.2">
      <c r="A13" s="27" t="s">
        <v>323</v>
      </c>
    </row>
    <row r="14" spans="1:5" x14ac:dyDescent="0.2">
      <c r="A14" t="s">
        <v>326</v>
      </c>
      <c r="B14">
        <v>0.76</v>
      </c>
      <c r="C14">
        <f>B4*20/1000000</f>
        <v>2</v>
      </c>
      <c r="D14" t="s">
        <v>293</v>
      </c>
      <c r="E14" t="s">
        <v>294</v>
      </c>
    </row>
    <row r="15" spans="1:5" x14ac:dyDescent="0.2">
      <c r="A15" t="s">
        <v>96</v>
      </c>
      <c r="B15">
        <v>0.37</v>
      </c>
      <c r="C15">
        <f>B15*'S1_LCOH Assumptions'!$B$31</f>
        <v>0.629</v>
      </c>
      <c r="D15" t="s">
        <v>295</v>
      </c>
      <c r="E15" t="s">
        <v>296</v>
      </c>
    </row>
    <row r="16" spans="1:5" x14ac:dyDescent="0.2">
      <c r="A16" t="s">
        <v>297</v>
      </c>
      <c r="B16">
        <v>0.04</v>
      </c>
      <c r="C16">
        <f>B16*'S1_LCOH Assumptions'!$B$31</f>
        <v>6.8000000000000005E-2</v>
      </c>
      <c r="D16" t="s">
        <v>328</v>
      </c>
      <c r="E16" t="s">
        <v>296</v>
      </c>
    </row>
    <row r="17" spans="1:5" x14ac:dyDescent="0.2">
      <c r="A17" t="s">
        <v>298</v>
      </c>
      <c r="B17">
        <v>0.05</v>
      </c>
      <c r="C17">
        <f>B17*'S1_LCOH Assumptions'!$B$31</f>
        <v>8.5000000000000006E-2</v>
      </c>
      <c r="D17" t="s">
        <v>299</v>
      </c>
      <c r="E17" t="s">
        <v>296</v>
      </c>
    </row>
    <row r="18" spans="1:5" x14ac:dyDescent="0.2">
      <c r="A18" t="s">
        <v>300</v>
      </c>
      <c r="B18">
        <v>0.16</v>
      </c>
      <c r="C18">
        <f>B18*'S1_LCOH Assumptions'!$B$31</f>
        <v>0.27200000000000002</v>
      </c>
      <c r="D18" t="s">
        <v>301</v>
      </c>
      <c r="E18" t="s">
        <v>296</v>
      </c>
    </row>
    <row r="19" spans="1:5" x14ac:dyDescent="0.2">
      <c r="A19" t="s">
        <v>302</v>
      </c>
      <c r="B19">
        <v>0.28000000000000003</v>
      </c>
      <c r="C19">
        <f>B19*'S1_LCOH Assumptions'!$B$31</f>
        <v>0.47600000000000003</v>
      </c>
      <c r="D19" t="s">
        <v>303</v>
      </c>
      <c r="E19" t="s">
        <v>296</v>
      </c>
    </row>
    <row r="20" spans="1:5" x14ac:dyDescent="0.2">
      <c r="A20" t="s">
        <v>304</v>
      </c>
      <c r="B20">
        <v>0.11</v>
      </c>
      <c r="C20">
        <f>B20*'S1_LCOH Assumptions'!$B$31</f>
        <v>0.187</v>
      </c>
      <c r="D20" t="s">
        <v>305</v>
      </c>
      <c r="E20" t="s">
        <v>296</v>
      </c>
    </row>
    <row r="21" spans="1:5" x14ac:dyDescent="0.2">
      <c r="A21" t="s">
        <v>306</v>
      </c>
      <c r="B21">
        <v>0.05</v>
      </c>
      <c r="C21">
        <f>B21*'S1_LCOH Assumptions'!$B$31</f>
        <v>8.5000000000000006E-2</v>
      </c>
      <c r="D21" t="s">
        <v>307</v>
      </c>
      <c r="E21" t="s">
        <v>296</v>
      </c>
    </row>
    <row r="22" spans="1:5" x14ac:dyDescent="0.2">
      <c r="A22" t="s">
        <v>308</v>
      </c>
      <c r="B22">
        <v>0.15</v>
      </c>
      <c r="C22">
        <f>B22*'S1_LCOH Assumptions'!$B$31</f>
        <v>0.255</v>
      </c>
      <c r="D22" t="s">
        <v>309</v>
      </c>
      <c r="E22" t="s">
        <v>296</v>
      </c>
    </row>
    <row r="23" spans="1:5" s="27" customFormat="1" x14ac:dyDescent="0.2">
      <c r="A23" s="27" t="s">
        <v>324</v>
      </c>
      <c r="C23" s="31"/>
    </row>
    <row r="24" spans="1:5" x14ac:dyDescent="0.2">
      <c r="A24" t="s">
        <v>100</v>
      </c>
      <c r="B24">
        <v>0.56000000000000005</v>
      </c>
      <c r="C24">
        <f>B24*'S1_LCOH Assumptions'!$B$31</f>
        <v>0.95200000000000007</v>
      </c>
      <c r="D24" t="s">
        <v>310</v>
      </c>
      <c r="E24" t="s">
        <v>311</v>
      </c>
    </row>
    <row r="25" spans="1:5" s="27" customFormat="1" x14ac:dyDescent="0.2">
      <c r="A25" s="27" t="s">
        <v>325</v>
      </c>
      <c r="C25" s="31"/>
    </row>
    <row r="26" spans="1:5" x14ac:dyDescent="0.2">
      <c r="A26" t="s">
        <v>312</v>
      </c>
      <c r="B26">
        <v>1.62</v>
      </c>
      <c r="C26">
        <f>B26*'S1_LCOH Assumptions'!$B$31</f>
        <v>2.754</v>
      </c>
      <c r="D26" t="s">
        <v>313</v>
      </c>
      <c r="E26" t="s">
        <v>314</v>
      </c>
    </row>
    <row r="27" spans="1:5" x14ac:dyDescent="0.2">
      <c r="A27" t="s">
        <v>315</v>
      </c>
      <c r="B27">
        <v>0.54</v>
      </c>
      <c r="C27">
        <f>B27*'S1_LCOH Assumptions'!$B$31</f>
        <v>0.91800000000000004</v>
      </c>
      <c r="D27" t="s">
        <v>316</v>
      </c>
      <c r="E27" t="s">
        <v>314</v>
      </c>
    </row>
    <row r="28" spans="1:5" x14ac:dyDescent="0.2">
      <c r="A28" t="s">
        <v>317</v>
      </c>
      <c r="B28">
        <v>0.72</v>
      </c>
      <c r="C28">
        <f>B28*'S1_LCOH Assumptions'!$B$31</f>
        <v>1.224</v>
      </c>
      <c r="D28" t="s">
        <v>318</v>
      </c>
      <c r="E28" t="s">
        <v>319</v>
      </c>
    </row>
    <row r="29" spans="1:5" x14ac:dyDescent="0.2">
      <c r="A29" t="s">
        <v>320</v>
      </c>
      <c r="B29">
        <v>0.68</v>
      </c>
      <c r="C29">
        <f>B29*'S1_LCOH Assumptions'!$B$31</f>
        <v>1.1560000000000001</v>
      </c>
      <c r="D29" t="s">
        <v>321</v>
      </c>
      <c r="E29" t="s">
        <v>319</v>
      </c>
    </row>
    <row r="31" spans="1:5" s="34" customFormat="1" x14ac:dyDescent="0.2">
      <c r="A31" s="33" t="s">
        <v>332</v>
      </c>
      <c r="B31" s="34">
        <f>SUM(C12:C29)</f>
        <v>13.3203</v>
      </c>
      <c r="C31" s="34" t="s">
        <v>333</v>
      </c>
    </row>
  </sheetData>
  <hyperlinks>
    <hyperlink ref="D4" r:id="rId1" xr:uid="{E95A05A7-3618-463D-8724-EA3000926CC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DF43A-BA41-43F9-8B8C-FACB5BE8E414}">
  <dimension ref="A1:G42"/>
  <sheetViews>
    <sheetView workbookViewId="0"/>
  </sheetViews>
  <sheetFormatPr baseColWidth="10" defaultColWidth="82.6640625" defaultRowHeight="15" x14ac:dyDescent="0.2"/>
  <cols>
    <col min="3" max="3" width="87.33203125" customWidth="1"/>
    <col min="5" max="5" width="105.33203125" customWidth="1"/>
  </cols>
  <sheetData>
    <row r="1" spans="1:7" s="38" customFormat="1" x14ac:dyDescent="0.2">
      <c r="A1" s="38" t="s">
        <v>343</v>
      </c>
    </row>
    <row r="2" spans="1:7" s="40" customFormat="1" x14ac:dyDescent="0.2">
      <c r="A2" s="40" t="s">
        <v>344</v>
      </c>
    </row>
    <row r="3" spans="1:7" s="39" customFormat="1" x14ac:dyDescent="0.2">
      <c r="A3" s="39" t="s">
        <v>345</v>
      </c>
      <c r="B3" s="39" t="s">
        <v>346</v>
      </c>
      <c r="C3" s="39" t="s">
        <v>347</v>
      </c>
      <c r="D3" s="39" t="s">
        <v>348</v>
      </c>
      <c r="E3" s="39" t="s">
        <v>349</v>
      </c>
      <c r="F3" s="39" t="s">
        <v>3</v>
      </c>
    </row>
    <row r="4" spans="1:7" x14ac:dyDescent="0.2">
      <c r="A4" t="s">
        <v>350</v>
      </c>
      <c r="B4" t="s">
        <v>351</v>
      </c>
      <c r="C4" t="s">
        <v>352</v>
      </c>
      <c r="D4" t="s">
        <v>353</v>
      </c>
      <c r="E4" t="s">
        <v>354</v>
      </c>
      <c r="F4" t="s">
        <v>355</v>
      </c>
    </row>
    <row r="5" spans="1:7" x14ac:dyDescent="0.2">
      <c r="A5" t="s">
        <v>356</v>
      </c>
      <c r="B5" t="s">
        <v>357</v>
      </c>
      <c r="C5" t="s">
        <v>358</v>
      </c>
      <c r="D5" t="s">
        <v>359</v>
      </c>
      <c r="E5" t="s">
        <v>360</v>
      </c>
      <c r="F5" t="s">
        <v>355</v>
      </c>
    </row>
    <row r="6" spans="1:7" x14ac:dyDescent="0.2">
      <c r="A6" t="s">
        <v>361</v>
      </c>
      <c r="B6" t="s">
        <v>362</v>
      </c>
      <c r="C6" t="s">
        <v>363</v>
      </c>
      <c r="D6" t="s">
        <v>364</v>
      </c>
      <c r="E6" t="s">
        <v>365</v>
      </c>
      <c r="F6" t="s">
        <v>366</v>
      </c>
    </row>
    <row r="7" spans="1:7" x14ac:dyDescent="0.2">
      <c r="A7" t="s">
        <v>367</v>
      </c>
      <c r="B7" t="s">
        <v>368</v>
      </c>
      <c r="C7" t="s">
        <v>369</v>
      </c>
      <c r="D7" t="s">
        <v>370</v>
      </c>
      <c r="E7" t="s">
        <v>371</v>
      </c>
      <c r="F7" t="s">
        <v>372</v>
      </c>
    </row>
    <row r="8" spans="1:7" x14ac:dyDescent="0.2">
      <c r="A8" t="s">
        <v>373</v>
      </c>
      <c r="B8" t="s">
        <v>374</v>
      </c>
      <c r="C8" t="s">
        <v>375</v>
      </c>
      <c r="D8" t="s">
        <v>376</v>
      </c>
      <c r="E8" t="s">
        <v>377</v>
      </c>
      <c r="F8" t="s">
        <v>410</v>
      </c>
    </row>
    <row r="9" spans="1:7" ht="32" x14ac:dyDescent="0.2">
      <c r="A9" t="s">
        <v>378</v>
      </c>
      <c r="B9" t="s">
        <v>379</v>
      </c>
      <c r="C9" t="s">
        <v>380</v>
      </c>
      <c r="D9" t="s">
        <v>381</v>
      </c>
      <c r="E9" s="41" t="s">
        <v>412</v>
      </c>
      <c r="F9" t="s">
        <v>382</v>
      </c>
    </row>
    <row r="10" spans="1:7" x14ac:dyDescent="0.2">
      <c r="A10" t="s">
        <v>383</v>
      </c>
      <c r="B10" t="s">
        <v>384</v>
      </c>
      <c r="C10" t="s">
        <v>385</v>
      </c>
      <c r="D10" t="s">
        <v>386</v>
      </c>
      <c r="E10" t="s">
        <v>387</v>
      </c>
      <c r="F10" t="s">
        <v>388</v>
      </c>
    </row>
    <row r="11" spans="1:7" x14ac:dyDescent="0.2">
      <c r="A11" t="s">
        <v>389</v>
      </c>
      <c r="B11" t="s">
        <v>390</v>
      </c>
      <c r="C11" t="s">
        <v>391</v>
      </c>
      <c r="D11" t="s">
        <v>392</v>
      </c>
      <c r="E11" t="s">
        <v>393</v>
      </c>
      <c r="F11" t="s">
        <v>394</v>
      </c>
    </row>
    <row r="12" spans="1:7" x14ac:dyDescent="0.2">
      <c r="A12" t="s">
        <v>395</v>
      </c>
      <c r="B12" t="s">
        <v>396</v>
      </c>
      <c r="C12" t="s">
        <v>397</v>
      </c>
      <c r="D12" t="s">
        <v>392</v>
      </c>
      <c r="E12" t="s">
        <v>398</v>
      </c>
      <c r="F12" t="s">
        <v>399</v>
      </c>
    </row>
    <row r="13" spans="1:7" x14ac:dyDescent="0.2">
      <c r="A13" t="s">
        <v>400</v>
      </c>
      <c r="B13" t="s">
        <v>401</v>
      </c>
      <c r="C13" t="s">
        <v>402</v>
      </c>
      <c r="D13" t="s">
        <v>392</v>
      </c>
      <c r="E13" t="s">
        <v>403</v>
      </c>
      <c r="F13" t="s">
        <v>404</v>
      </c>
    </row>
    <row r="14" spans="1:7" ht="32" x14ac:dyDescent="0.2">
      <c r="A14" t="s">
        <v>405</v>
      </c>
      <c r="B14" t="s">
        <v>406</v>
      </c>
      <c r="C14" t="s">
        <v>407</v>
      </c>
      <c r="D14" t="s">
        <v>408</v>
      </c>
      <c r="E14" t="s">
        <v>409</v>
      </c>
      <c r="F14" s="41" t="s">
        <v>411</v>
      </c>
    </row>
    <row r="15" spans="1:7" s="40" customFormat="1" x14ac:dyDescent="0.2">
      <c r="A15" s="40" t="s">
        <v>467</v>
      </c>
    </row>
    <row r="16" spans="1:7" s="39" customFormat="1" x14ac:dyDescent="0.2">
      <c r="A16" s="39" t="s">
        <v>0</v>
      </c>
      <c r="B16" s="39" t="s">
        <v>413</v>
      </c>
      <c r="C16" s="39" t="s">
        <v>414</v>
      </c>
      <c r="D16" s="39" t="s">
        <v>2</v>
      </c>
      <c r="E16" s="39" t="s">
        <v>3</v>
      </c>
      <c r="F16" s="39" t="s">
        <v>415</v>
      </c>
      <c r="G16" s="39" t="s">
        <v>114</v>
      </c>
    </row>
    <row r="17" spans="1:7" x14ac:dyDescent="0.2">
      <c r="A17" t="s">
        <v>431</v>
      </c>
      <c r="B17" s="4">
        <v>2160</v>
      </c>
      <c r="C17" s="4">
        <v>960</v>
      </c>
      <c r="D17" t="s">
        <v>416</v>
      </c>
      <c r="E17" t="s">
        <v>436</v>
      </c>
      <c r="F17" t="s">
        <v>417</v>
      </c>
      <c r="G17" t="s">
        <v>418</v>
      </c>
    </row>
    <row r="18" spans="1:7" x14ac:dyDescent="0.2">
      <c r="A18" t="s">
        <v>432</v>
      </c>
      <c r="B18" s="4">
        <v>1100</v>
      </c>
      <c r="C18" s="4">
        <v>620</v>
      </c>
      <c r="D18" t="s">
        <v>416</v>
      </c>
      <c r="E18" t="s">
        <v>436</v>
      </c>
      <c r="F18" t="s">
        <v>419</v>
      </c>
      <c r="G18" t="s">
        <v>434</v>
      </c>
    </row>
    <row r="19" spans="1:7" x14ac:dyDescent="0.2">
      <c r="A19" t="s">
        <v>420</v>
      </c>
      <c r="B19" s="4">
        <v>66</v>
      </c>
      <c r="C19" s="4">
        <v>69</v>
      </c>
      <c r="D19" t="s">
        <v>421</v>
      </c>
      <c r="E19" t="s">
        <v>436</v>
      </c>
      <c r="F19" t="s">
        <v>422</v>
      </c>
      <c r="G19" t="s">
        <v>435</v>
      </c>
    </row>
    <row r="20" spans="1:7" x14ac:dyDescent="0.2">
      <c r="A20" t="s">
        <v>423</v>
      </c>
      <c r="B20" s="4" t="s">
        <v>424</v>
      </c>
      <c r="C20" s="4" t="s">
        <v>424</v>
      </c>
      <c r="D20" t="s">
        <v>425</v>
      </c>
      <c r="E20" t="s">
        <v>436</v>
      </c>
      <c r="F20" t="s">
        <v>426</v>
      </c>
      <c r="G20" t="s">
        <v>427</v>
      </c>
    </row>
    <row r="21" spans="1:7" x14ac:dyDescent="0.2">
      <c r="A21" t="s">
        <v>433</v>
      </c>
      <c r="B21" s="4">
        <v>50000</v>
      </c>
      <c r="C21" s="4">
        <v>50000</v>
      </c>
      <c r="D21" t="s">
        <v>428</v>
      </c>
      <c r="E21" t="s">
        <v>436</v>
      </c>
      <c r="F21" t="s">
        <v>429</v>
      </c>
      <c r="G21" t="s">
        <v>430</v>
      </c>
    </row>
    <row r="22" spans="1:7" s="40" customFormat="1" x14ac:dyDescent="0.2">
      <c r="A22" s="40" t="s">
        <v>437</v>
      </c>
    </row>
    <row r="23" spans="1:7" s="39" customFormat="1" x14ac:dyDescent="0.2">
      <c r="A23" s="39" t="s">
        <v>0</v>
      </c>
      <c r="B23" s="39" t="s">
        <v>1</v>
      </c>
      <c r="C23" s="39" t="s">
        <v>2</v>
      </c>
      <c r="D23" s="39" t="s">
        <v>3</v>
      </c>
      <c r="E23" s="39" t="s">
        <v>438</v>
      </c>
      <c r="F23" s="39" t="s">
        <v>114</v>
      </c>
    </row>
    <row r="24" spans="1:7" x14ac:dyDescent="0.2">
      <c r="A24" t="s">
        <v>439</v>
      </c>
      <c r="B24" s="4">
        <v>0.6</v>
      </c>
      <c r="C24" s="4" t="s">
        <v>440</v>
      </c>
      <c r="D24" t="s">
        <v>461</v>
      </c>
      <c r="E24" t="s">
        <v>441</v>
      </c>
      <c r="F24" t="s">
        <v>465</v>
      </c>
    </row>
    <row r="25" spans="1:7" x14ac:dyDescent="0.2">
      <c r="A25" t="s">
        <v>442</v>
      </c>
      <c r="B25" s="4">
        <v>196</v>
      </c>
      <c r="C25" s="4" t="s">
        <v>443</v>
      </c>
      <c r="D25" t="s">
        <v>461</v>
      </c>
      <c r="E25" t="s">
        <v>444</v>
      </c>
      <c r="F25" t="s">
        <v>445</v>
      </c>
    </row>
    <row r="26" spans="1:7" x14ac:dyDescent="0.2">
      <c r="A26" t="s">
        <v>446</v>
      </c>
      <c r="B26" s="4">
        <v>8.9899999999999994E-2</v>
      </c>
      <c r="C26" s="4" t="s">
        <v>447</v>
      </c>
      <c r="D26" t="s">
        <v>464</v>
      </c>
      <c r="E26" t="s">
        <v>448</v>
      </c>
      <c r="F26" t="s">
        <v>449</v>
      </c>
    </row>
    <row r="27" spans="1:7" x14ac:dyDescent="0.2">
      <c r="A27" t="s">
        <v>450</v>
      </c>
      <c r="B27" s="4">
        <v>89900</v>
      </c>
      <c r="C27" s="4" t="s">
        <v>386</v>
      </c>
      <c r="D27" t="s">
        <v>462</v>
      </c>
      <c r="E27" t="s">
        <v>451</v>
      </c>
      <c r="F27" t="s">
        <v>452</v>
      </c>
    </row>
    <row r="28" spans="1:7" x14ac:dyDescent="0.2">
      <c r="A28" t="s">
        <v>459</v>
      </c>
      <c r="B28" s="4">
        <v>10572240</v>
      </c>
      <c r="C28" s="4" t="s">
        <v>381</v>
      </c>
      <c r="D28" t="s">
        <v>463</v>
      </c>
      <c r="E28" t="s">
        <v>453</v>
      </c>
      <c r="F28" t="s">
        <v>466</v>
      </c>
    </row>
    <row r="29" spans="1:7" x14ac:dyDescent="0.2">
      <c r="A29" t="s">
        <v>686</v>
      </c>
      <c r="B29" s="4">
        <v>13513514</v>
      </c>
      <c r="C29" s="4" t="s">
        <v>381</v>
      </c>
      <c r="D29" t="s">
        <v>456</v>
      </c>
      <c r="E29" t="s">
        <v>454</v>
      </c>
      <c r="F29" t="s">
        <v>455</v>
      </c>
    </row>
    <row r="30" spans="1:7" x14ac:dyDescent="0.2">
      <c r="A30" t="s">
        <v>460</v>
      </c>
      <c r="B30" s="4">
        <v>42042042</v>
      </c>
      <c r="C30" s="4" t="s">
        <v>381</v>
      </c>
      <c r="D30" t="s">
        <v>456</v>
      </c>
      <c r="E30" t="s">
        <v>457</v>
      </c>
      <c r="F30" t="s">
        <v>458</v>
      </c>
    </row>
    <row r="31" spans="1:7" s="40" customFormat="1" x14ac:dyDescent="0.2">
      <c r="A31" s="40" t="s">
        <v>468</v>
      </c>
    </row>
    <row r="32" spans="1:7" s="39" customFormat="1" ht="16" customHeight="1" x14ac:dyDescent="0.2">
      <c r="A32" s="39" t="s">
        <v>0</v>
      </c>
      <c r="B32" s="39" t="s">
        <v>1</v>
      </c>
      <c r="C32" s="39" t="s">
        <v>2</v>
      </c>
      <c r="D32" s="39" t="s">
        <v>3</v>
      </c>
      <c r="E32" s="39" t="s">
        <v>469</v>
      </c>
      <c r="F32" s="39" t="s">
        <v>114</v>
      </c>
    </row>
    <row r="33" spans="1:6" x14ac:dyDescent="0.2">
      <c r="A33" t="s">
        <v>470</v>
      </c>
      <c r="B33" s="4">
        <v>33.299999999999997</v>
      </c>
      <c r="C33" t="s">
        <v>55</v>
      </c>
      <c r="D33" t="s">
        <v>471</v>
      </c>
      <c r="E33" t="s">
        <v>472</v>
      </c>
      <c r="F33" t="s">
        <v>473</v>
      </c>
    </row>
    <row r="34" spans="1:6" x14ac:dyDescent="0.2">
      <c r="A34" t="s">
        <v>635</v>
      </c>
      <c r="B34" s="4">
        <v>0.66</v>
      </c>
      <c r="C34" t="s">
        <v>474</v>
      </c>
      <c r="D34" t="s">
        <v>475</v>
      </c>
      <c r="E34" t="s">
        <v>476</v>
      </c>
      <c r="F34" t="s">
        <v>477</v>
      </c>
    </row>
    <row r="35" spans="1:6" x14ac:dyDescent="0.2">
      <c r="A35" t="s">
        <v>28</v>
      </c>
      <c r="B35" s="4">
        <v>1.7</v>
      </c>
      <c r="C35" t="s">
        <v>478</v>
      </c>
      <c r="D35" t="s">
        <v>479</v>
      </c>
      <c r="E35" t="s">
        <v>480</v>
      </c>
      <c r="F35" t="s">
        <v>502</v>
      </c>
    </row>
    <row r="36" spans="1:6" x14ac:dyDescent="0.2">
      <c r="A36" t="s">
        <v>481</v>
      </c>
      <c r="B36" s="4">
        <f>'S1_LCOH Assumptions'!B61</f>
        <v>100</v>
      </c>
      <c r="C36" t="s">
        <v>115</v>
      </c>
      <c r="D36" t="s">
        <v>482</v>
      </c>
      <c r="E36" t="s">
        <v>483</v>
      </c>
      <c r="F36" t="s">
        <v>501</v>
      </c>
    </row>
    <row r="37" spans="1:6" x14ac:dyDescent="0.2">
      <c r="A37" t="s">
        <v>484</v>
      </c>
      <c r="B37" s="4">
        <v>30</v>
      </c>
      <c r="C37" t="s">
        <v>67</v>
      </c>
      <c r="D37" t="s">
        <v>485</v>
      </c>
      <c r="E37" t="s">
        <v>486</v>
      </c>
      <c r="F37" t="s">
        <v>487</v>
      </c>
    </row>
    <row r="38" spans="1:6" x14ac:dyDescent="0.2">
      <c r="A38" t="s">
        <v>500</v>
      </c>
      <c r="B38" s="4">
        <v>8760</v>
      </c>
      <c r="C38" t="s">
        <v>488</v>
      </c>
      <c r="D38" t="s">
        <v>489</v>
      </c>
      <c r="E38" t="s">
        <v>490</v>
      </c>
      <c r="F38" t="s">
        <v>503</v>
      </c>
    </row>
    <row r="39" spans="1:6" x14ac:dyDescent="0.2">
      <c r="A39" t="s">
        <v>491</v>
      </c>
      <c r="B39" s="4">
        <v>90</v>
      </c>
      <c r="C39" t="s">
        <v>35</v>
      </c>
      <c r="D39" t="s">
        <v>492</v>
      </c>
      <c r="E39" t="s">
        <v>493</v>
      </c>
      <c r="F39" t="s">
        <v>494</v>
      </c>
    </row>
    <row r="40" spans="1:6" x14ac:dyDescent="0.2">
      <c r="A40" t="s">
        <v>495</v>
      </c>
      <c r="B40" s="4">
        <v>1</v>
      </c>
      <c r="C40" t="s">
        <v>496</v>
      </c>
      <c r="D40" t="s">
        <v>497</v>
      </c>
      <c r="E40" t="s">
        <v>498</v>
      </c>
      <c r="F40" t="s">
        <v>499</v>
      </c>
    </row>
    <row r="42" spans="1:6" x14ac:dyDescent="0.2">
      <c r="A42" t="s">
        <v>504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77AB-CB69-482E-B33F-EC80AADD3CE4}">
  <dimension ref="A1:F21"/>
  <sheetViews>
    <sheetView workbookViewId="0"/>
  </sheetViews>
  <sheetFormatPr baseColWidth="10" defaultColWidth="59.33203125" defaultRowHeight="15" x14ac:dyDescent="0.2"/>
  <cols>
    <col min="3" max="6" width="59.33203125" style="4"/>
  </cols>
  <sheetData>
    <row r="1" spans="1:6" s="42" customFormat="1" x14ac:dyDescent="0.2">
      <c r="A1" s="42" t="s">
        <v>524</v>
      </c>
      <c r="C1" s="45"/>
      <c r="D1" s="45"/>
      <c r="E1" s="45"/>
      <c r="F1" s="45"/>
    </row>
    <row r="2" spans="1:6" s="25" customFormat="1" x14ac:dyDescent="0.2">
      <c r="A2" s="25" t="s">
        <v>685</v>
      </c>
      <c r="C2" s="46"/>
      <c r="D2" s="46"/>
      <c r="E2" s="46"/>
      <c r="F2" s="46"/>
    </row>
    <row r="3" spans="1:6" s="43" customFormat="1" x14ac:dyDescent="0.2">
      <c r="A3" s="43" t="s">
        <v>505</v>
      </c>
      <c r="B3" s="43" t="s">
        <v>506</v>
      </c>
      <c r="C3" s="47" t="s">
        <v>254</v>
      </c>
      <c r="D3" s="47" t="s">
        <v>255</v>
      </c>
      <c r="E3" s="47" t="s">
        <v>256</v>
      </c>
      <c r="F3" s="47" t="s">
        <v>2</v>
      </c>
    </row>
    <row r="4" spans="1:6" s="48" customFormat="1" x14ac:dyDescent="0.2">
      <c r="A4" s="49" t="s">
        <v>525</v>
      </c>
      <c r="C4" s="50"/>
      <c r="D4" s="50"/>
      <c r="E4" s="50"/>
      <c r="F4" s="50"/>
    </row>
    <row r="5" spans="1:6" x14ac:dyDescent="0.2">
      <c r="A5" s="44" t="s">
        <v>507</v>
      </c>
      <c r="B5" t="s">
        <v>508</v>
      </c>
      <c r="C5" s="4">
        <f>'S4_Electrolyser Assumptions'!B29</f>
        <v>13513514</v>
      </c>
      <c r="D5" s="4">
        <f>'S4_Electrolyser Assumptions'!B28</f>
        <v>10572240</v>
      </c>
      <c r="E5" s="4">
        <f>'S4_Electrolyser Assumptions'!B30</f>
        <v>42042042</v>
      </c>
      <c r="F5" s="4" t="s">
        <v>381</v>
      </c>
    </row>
    <row r="6" spans="1:6" x14ac:dyDescent="0.2">
      <c r="A6" s="44" t="s">
        <v>509</v>
      </c>
      <c r="B6" t="s">
        <v>510</v>
      </c>
      <c r="C6" s="4">
        <v>2160</v>
      </c>
      <c r="D6" s="4">
        <f>'S4_Electrolyser Assumptions'!B17</f>
        <v>2160</v>
      </c>
      <c r="E6" s="4">
        <f>'S4_Electrolyser Assumptions'!C17</f>
        <v>960</v>
      </c>
      <c r="F6" s="4" t="s">
        <v>416</v>
      </c>
    </row>
    <row r="7" spans="1:6" x14ac:dyDescent="0.2">
      <c r="A7" s="44" t="s">
        <v>511</v>
      </c>
      <c r="B7" t="s">
        <v>512</v>
      </c>
      <c r="C7" s="4">
        <f>'S4_Electrolyser Assumptions'!$B$38</f>
        <v>8760</v>
      </c>
      <c r="D7" s="4">
        <f>'S4_Electrolyser Assumptions'!$B$38</f>
        <v>8760</v>
      </c>
      <c r="E7" s="4">
        <f>'S4_Electrolyser Assumptions'!$B$38</f>
        <v>8760</v>
      </c>
      <c r="F7" s="4" t="s">
        <v>488</v>
      </c>
    </row>
    <row r="8" spans="1:6" x14ac:dyDescent="0.2">
      <c r="A8" s="44"/>
    </row>
    <row r="9" spans="1:6" s="48" customFormat="1" x14ac:dyDescent="0.2">
      <c r="A9" s="49" t="s">
        <v>526</v>
      </c>
      <c r="C9" s="50"/>
      <c r="D9" s="50"/>
      <c r="E9" s="50"/>
      <c r="F9" s="50"/>
    </row>
    <row r="10" spans="1:6" x14ac:dyDescent="0.2">
      <c r="A10" s="44" t="s">
        <v>513</v>
      </c>
      <c r="B10" t="s">
        <v>514</v>
      </c>
      <c r="C10" s="4">
        <f>C5*'S4_Electrolyser Assumptions'!$B$33/'S4_Electrolyser Assumptions'!$B$34</f>
        <v>681818206.36363626</v>
      </c>
      <c r="D10" s="4">
        <f>D5*'S4_Electrolyser Assumptions'!$B$33/'S4_Electrolyser Assumptions'!$B$34</f>
        <v>533417563.63636351</v>
      </c>
      <c r="E10" s="4">
        <f>E5*'S4_Electrolyser Assumptions'!$B$33/'S4_Electrolyser Assumptions'!$B$34</f>
        <v>2121212119.0909088</v>
      </c>
      <c r="F10" s="4" t="s">
        <v>353</v>
      </c>
    </row>
    <row r="11" spans="1:6" x14ac:dyDescent="0.2">
      <c r="A11" s="44" t="s">
        <v>530</v>
      </c>
      <c r="C11" s="4">
        <f>C10/1000</f>
        <v>681818.2063636363</v>
      </c>
      <c r="D11" s="4">
        <f>D10/1000</f>
        <v>533417.56363636348</v>
      </c>
      <c r="E11" s="4">
        <f>E10/1000</f>
        <v>2121212.1190909087</v>
      </c>
      <c r="F11" s="4" t="s">
        <v>515</v>
      </c>
    </row>
    <row r="12" spans="1:6" x14ac:dyDescent="0.2">
      <c r="A12" s="44"/>
    </row>
    <row r="13" spans="1:6" s="48" customFormat="1" x14ac:dyDescent="0.2">
      <c r="A13" s="49" t="s">
        <v>527</v>
      </c>
      <c r="C13" s="50"/>
      <c r="D13" s="50"/>
      <c r="E13" s="50"/>
      <c r="F13" s="50"/>
    </row>
    <row r="14" spans="1:6" x14ac:dyDescent="0.2">
      <c r="A14" s="44" t="s">
        <v>516</v>
      </c>
      <c r="B14" t="s">
        <v>517</v>
      </c>
      <c r="C14" s="4">
        <f>C10/C7</f>
        <v>77833.12858032377</v>
      </c>
      <c r="D14" s="4">
        <f>D10/D7</f>
        <v>60892.415940224142</v>
      </c>
      <c r="E14" s="4">
        <f>E10/E7</f>
        <v>242147.50217932748</v>
      </c>
      <c r="F14" s="4" t="s">
        <v>359</v>
      </c>
    </row>
    <row r="15" spans="1:6" x14ac:dyDescent="0.2">
      <c r="A15" s="44" t="s">
        <v>518</v>
      </c>
      <c r="B15" t="s">
        <v>519</v>
      </c>
      <c r="C15" s="4">
        <f>C14/1000</f>
        <v>77.833128580323773</v>
      </c>
      <c r="D15" s="4">
        <f>D14/1000</f>
        <v>60.89241594022414</v>
      </c>
      <c r="E15" s="4">
        <f>E14/1000</f>
        <v>242.14750217932749</v>
      </c>
      <c r="F15" s="4" t="s">
        <v>364</v>
      </c>
    </row>
    <row r="16" spans="1:6" x14ac:dyDescent="0.2">
      <c r="A16" s="44"/>
    </row>
    <row r="17" spans="1:6" s="48" customFormat="1" x14ac:dyDescent="0.2">
      <c r="A17" s="49" t="s">
        <v>528</v>
      </c>
      <c r="C17" s="50"/>
      <c r="D17" s="50"/>
      <c r="E17" s="50"/>
      <c r="F17" s="50"/>
    </row>
    <row r="18" spans="1:6" x14ac:dyDescent="0.2">
      <c r="A18" s="44" t="s">
        <v>520</v>
      </c>
      <c r="B18" t="s">
        <v>521</v>
      </c>
      <c r="C18" s="4">
        <f>C14*C6/1000000</f>
        <v>168.11955773349933</v>
      </c>
      <c r="D18" s="4">
        <f>D14*D6/1000000</f>
        <v>131.52761843088416</v>
      </c>
      <c r="E18" s="4">
        <f>E14*E6/1000000</f>
        <v>232.46160209215438</v>
      </c>
      <c r="F18" s="4" t="s">
        <v>370</v>
      </c>
    </row>
    <row r="19" spans="1:6" x14ac:dyDescent="0.2">
      <c r="A19" s="44"/>
    </row>
    <row r="20" spans="1:6" s="48" customFormat="1" x14ac:dyDescent="0.2">
      <c r="A20" s="49" t="s">
        <v>529</v>
      </c>
      <c r="C20" s="50"/>
      <c r="D20" s="50"/>
      <c r="E20" s="50"/>
      <c r="F20" s="50"/>
    </row>
    <row r="21" spans="1:6" s="51" customFormat="1" x14ac:dyDescent="0.2">
      <c r="A21" s="51" t="s">
        <v>522</v>
      </c>
      <c r="B21" s="51" t="s">
        <v>523</v>
      </c>
      <c r="C21" s="52">
        <f>C18*'S4_Electrolyser Assumptions'!$B$35</f>
        <v>285.80324814694887</v>
      </c>
      <c r="D21" s="52">
        <f>D18*'S4_Electrolyser Assumptions'!$B$35</f>
        <v>223.59695133250307</v>
      </c>
      <c r="E21" s="52">
        <f>E18*'S4_Electrolyser Assumptions'!$B$35</f>
        <v>395.18472355666245</v>
      </c>
      <c r="F21" s="52" t="s">
        <v>376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1697-3DCA-4184-B590-49DC42E2A7E7}">
  <dimension ref="A1:G15"/>
  <sheetViews>
    <sheetView workbookViewId="0"/>
  </sheetViews>
  <sheetFormatPr baseColWidth="10" defaultColWidth="57.1640625" defaultRowHeight="15" x14ac:dyDescent="0.2"/>
  <cols>
    <col min="1" max="1" width="72.83203125" style="31" customWidth="1"/>
    <col min="2" max="2" width="79.6640625" customWidth="1"/>
    <col min="3" max="5" width="57.1640625" style="4"/>
  </cols>
  <sheetData>
    <row r="1" spans="1:7" s="55" customFormat="1" x14ac:dyDescent="0.2">
      <c r="A1" s="55" t="s">
        <v>548</v>
      </c>
      <c r="C1" s="56"/>
      <c r="D1" s="56"/>
      <c r="E1" s="56"/>
    </row>
    <row r="2" spans="1:7" s="54" customFormat="1" x14ac:dyDescent="0.2">
      <c r="A2" s="54" t="s">
        <v>549</v>
      </c>
      <c r="C2" s="57"/>
      <c r="D2" s="57"/>
      <c r="E2" s="57"/>
    </row>
    <row r="3" spans="1:7" s="27" customFormat="1" x14ac:dyDescent="0.2">
      <c r="A3" s="27" t="s">
        <v>531</v>
      </c>
      <c r="B3" s="27" t="s">
        <v>506</v>
      </c>
      <c r="C3" s="58" t="s">
        <v>254</v>
      </c>
      <c r="D3" s="58" t="s">
        <v>255</v>
      </c>
      <c r="E3" s="58" t="s">
        <v>256</v>
      </c>
      <c r="F3" s="27" t="s">
        <v>2</v>
      </c>
      <c r="G3" s="27" t="s">
        <v>532</v>
      </c>
    </row>
    <row r="4" spans="1:7" x14ac:dyDescent="0.2">
      <c r="A4" s="53" t="s">
        <v>552</v>
      </c>
    </row>
    <row r="5" spans="1:7" x14ac:dyDescent="0.2">
      <c r="A5" s="31" t="s">
        <v>550</v>
      </c>
    </row>
    <row r="6" spans="1:7" ht="48" x14ac:dyDescent="0.2">
      <c r="A6" s="31" t="s">
        <v>551</v>
      </c>
      <c r="B6" t="s">
        <v>533</v>
      </c>
      <c r="C6" s="4">
        <f>30*'S4_Electrolyser Assumptions'!$B$38/50000</f>
        <v>5.2560000000000002</v>
      </c>
      <c r="D6" s="4">
        <f>30*'S4_Electrolyser Assumptions'!$B$38/50000</f>
        <v>5.2560000000000002</v>
      </c>
      <c r="E6" s="4">
        <f>30*'S4_Electrolyser Assumptions'!$B$38/50000</f>
        <v>5.2560000000000002</v>
      </c>
      <c r="F6" t="s">
        <v>534</v>
      </c>
      <c r="G6" s="41" t="s">
        <v>636</v>
      </c>
    </row>
    <row r="7" spans="1:7" x14ac:dyDescent="0.2">
      <c r="A7" s="31" t="s">
        <v>535</v>
      </c>
      <c r="B7" t="s">
        <v>536</v>
      </c>
      <c r="C7" s="4">
        <f>'S5_Electrolyser CAPEX'!C21*0.03</f>
        <v>8.5740974444084657</v>
      </c>
      <c r="D7" s="4">
        <f>'S5_Electrolyser CAPEX'!D21*0.03</f>
        <v>6.707908539975092</v>
      </c>
      <c r="E7" s="4">
        <f>'S5_Electrolyser CAPEX'!E21*0.03</f>
        <v>11.855541706699873</v>
      </c>
      <c r="F7" t="s">
        <v>392</v>
      </c>
      <c r="G7" t="s">
        <v>537</v>
      </c>
    </row>
    <row r="9" spans="1:7" x14ac:dyDescent="0.2">
      <c r="A9" s="31" t="s">
        <v>553</v>
      </c>
    </row>
    <row r="10" spans="1:7" x14ac:dyDescent="0.2">
      <c r="A10" s="31" t="s">
        <v>554</v>
      </c>
    </row>
    <row r="11" spans="1:7" x14ac:dyDescent="0.2">
      <c r="A11" s="31" t="s">
        <v>538</v>
      </c>
      <c r="B11" t="s">
        <v>539</v>
      </c>
      <c r="C11" s="4">
        <f>('S5_Electrolyser CAPEX'!C5*'S4_Electrolyser Assumptions'!$B$33/'S4_Electrolyser Assumptions'!$B$34*('S4_Electrolyser Assumptions'!$B$36/1000))/1000000</f>
        <v>68.181820636363625</v>
      </c>
      <c r="D11" s="4">
        <f>('S5_Electrolyser CAPEX'!D5*'S4_Electrolyser Assumptions'!$B$33/'S4_Electrolyser Assumptions'!$B$34*('S4_Electrolyser Assumptions'!$B$36/1000))/1000000</f>
        <v>53.34175636363635</v>
      </c>
      <c r="E11" s="4">
        <f>('S5_Electrolyser CAPEX'!E5*'S4_Electrolyser Assumptions'!$B$33/'S4_Electrolyser Assumptions'!$B$34*('S4_Electrolyser Assumptions'!$B$36/1000))/1000000</f>
        <v>212.12121190909087</v>
      </c>
      <c r="F11" t="s">
        <v>392</v>
      </c>
      <c r="G11" t="s">
        <v>540</v>
      </c>
    </row>
    <row r="13" spans="1:7" x14ac:dyDescent="0.2">
      <c r="A13" s="31" t="s">
        <v>541</v>
      </c>
    </row>
    <row r="14" spans="1:7" s="35" customFormat="1" x14ac:dyDescent="0.2">
      <c r="B14" s="35" t="s">
        <v>345</v>
      </c>
      <c r="C14" s="36" t="s">
        <v>542</v>
      </c>
      <c r="D14" s="36" t="s">
        <v>543</v>
      </c>
      <c r="E14" s="36" t="s">
        <v>544</v>
      </c>
      <c r="F14" s="35" t="s">
        <v>2</v>
      </c>
      <c r="G14" s="35" t="s">
        <v>114</v>
      </c>
    </row>
    <row r="15" spans="1:7" s="35" customFormat="1" x14ac:dyDescent="0.2">
      <c r="A15" s="35" t="s">
        <v>545</v>
      </c>
      <c r="B15" s="35" t="s">
        <v>546</v>
      </c>
      <c r="C15" s="36">
        <f>C7+C11</f>
        <v>76.755918080772091</v>
      </c>
      <c r="D15" s="36">
        <f>D7+D11</f>
        <v>60.049664903611443</v>
      </c>
      <c r="E15" s="36">
        <f>E7+E11</f>
        <v>223.97675361579076</v>
      </c>
      <c r="F15" s="35" t="s">
        <v>392</v>
      </c>
      <c r="G15" s="35" t="s">
        <v>547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0234-69A9-4FB6-A2A9-16B690D9CA66}">
  <dimension ref="A1:F21"/>
  <sheetViews>
    <sheetView workbookViewId="0"/>
  </sheetViews>
  <sheetFormatPr baseColWidth="10" defaultColWidth="31.5" defaultRowHeight="15" x14ac:dyDescent="0.2"/>
  <cols>
    <col min="1" max="1" width="45.5" customWidth="1"/>
    <col min="2" max="2" width="49.83203125" customWidth="1"/>
    <col min="4" max="4" width="44.83203125" customWidth="1"/>
  </cols>
  <sheetData>
    <row r="1" spans="1:6" s="59" customFormat="1" x14ac:dyDescent="0.2">
      <c r="A1" s="59" t="s">
        <v>561</v>
      </c>
    </row>
    <row r="2" spans="1:6" s="17" customFormat="1" ht="128" x14ac:dyDescent="0.2">
      <c r="A2" s="61" t="s">
        <v>562</v>
      </c>
      <c r="B2" s="60" t="s">
        <v>563</v>
      </c>
      <c r="C2" s="62" t="s">
        <v>566</v>
      </c>
    </row>
    <row r="4" spans="1:6" s="37" customFormat="1" x14ac:dyDescent="0.2">
      <c r="A4" s="37" t="s">
        <v>0</v>
      </c>
      <c r="B4" s="37" t="s">
        <v>578</v>
      </c>
      <c r="C4" s="37" t="s">
        <v>577</v>
      </c>
      <c r="D4" s="37" t="s">
        <v>579</v>
      </c>
      <c r="E4" s="37" t="s">
        <v>2</v>
      </c>
      <c r="F4" s="37" t="s">
        <v>114</v>
      </c>
    </row>
    <row r="5" spans="1:6" x14ac:dyDescent="0.2">
      <c r="A5" t="s">
        <v>583</v>
      </c>
      <c r="B5" s="66">
        <f>'S5_Electrolyser CAPEX'!C21+'S2_Storage CAPEX'!E33</f>
        <v>367.30188734694889</v>
      </c>
      <c r="C5" s="64">
        <f>'S2_Storage CAPEX'!E34+'S5_Electrolyser CAPEX'!D21</f>
        <v>282.48219053250307</v>
      </c>
      <c r="D5" s="68">
        <f>'S5_Electrolyser CAPEX'!E21+'S2_Storage CAPEX'!E35</f>
        <v>449.04476275666246</v>
      </c>
      <c r="E5" t="s">
        <v>334</v>
      </c>
      <c r="F5" t="s">
        <v>564</v>
      </c>
    </row>
    <row r="6" spans="1:6" x14ac:dyDescent="0.2">
      <c r="A6" t="s">
        <v>585</v>
      </c>
      <c r="B6" s="66">
        <f>'S2_Storage CAPEX'!E33</f>
        <v>81.4986392</v>
      </c>
      <c r="C6" s="64">
        <f>'S2_Storage CAPEX'!E34</f>
        <v>58.885239200000001</v>
      </c>
      <c r="D6" s="68">
        <f>'S2_Storage CAPEX'!E35</f>
        <v>53.860039200000003</v>
      </c>
      <c r="E6" t="s">
        <v>334</v>
      </c>
      <c r="F6" t="s">
        <v>586</v>
      </c>
    </row>
    <row r="7" spans="1:6" x14ac:dyDescent="0.2">
      <c r="A7" t="s">
        <v>335</v>
      </c>
      <c r="B7" s="66">
        <f>'S1_LCOH Assumptions'!$B$30</f>
        <v>8.8827433387272267E-2</v>
      </c>
      <c r="C7" s="64">
        <f>'S1_LCOH Assumptions'!$B$30</f>
        <v>8.8827433387272267E-2</v>
      </c>
      <c r="D7" s="68">
        <f>'S1_LCOH Assumptions'!$B$30</f>
        <v>8.8827433387272267E-2</v>
      </c>
      <c r="E7" t="s">
        <v>113</v>
      </c>
      <c r="F7" t="s">
        <v>339</v>
      </c>
    </row>
    <row r="8" spans="1:6" x14ac:dyDescent="0.2">
      <c r="A8" t="s">
        <v>584</v>
      </c>
      <c r="B8" s="66">
        <f>'S6_Electrolyser OPEX'!C15+'S3_Storage OPEX'!B31</f>
        <v>90.076218080772094</v>
      </c>
      <c r="C8" s="64">
        <f>'S3_Storage OPEX'!$B$31+'S6_Electrolyser OPEX'!D15</f>
        <v>73.369964903611447</v>
      </c>
      <c r="D8" s="68">
        <f>'S6_Electrolyser OPEX'!E15+'S3_Storage OPEX'!B31</f>
        <v>237.29705361579076</v>
      </c>
      <c r="E8" t="s">
        <v>333</v>
      </c>
      <c r="F8" t="s">
        <v>565</v>
      </c>
    </row>
    <row r="9" spans="1:6" x14ac:dyDescent="0.2">
      <c r="A9" t="s">
        <v>587</v>
      </c>
      <c r="B9" s="66">
        <f>'S3_Storage OPEX'!$B$31</f>
        <v>13.3203</v>
      </c>
      <c r="C9" s="64">
        <f>'S3_Storage OPEX'!$B$31</f>
        <v>13.3203</v>
      </c>
      <c r="D9" s="68">
        <f>'S3_Storage OPEX'!$B$31</f>
        <v>13.3203</v>
      </c>
      <c r="E9" t="s">
        <v>333</v>
      </c>
      <c r="F9" t="s">
        <v>588</v>
      </c>
    </row>
    <row r="10" spans="1:6" x14ac:dyDescent="0.2">
      <c r="A10" t="s">
        <v>336</v>
      </c>
      <c r="B10" s="66">
        <f>'S1_LCOH Assumptions'!$B$60</f>
        <v>2.2000000000000002</v>
      </c>
      <c r="C10" s="64">
        <f>'S1_LCOH Assumptions'!$B$60</f>
        <v>2.2000000000000002</v>
      </c>
      <c r="D10" s="68">
        <f>'S1_LCOH Assumptions'!$B$60</f>
        <v>2.2000000000000002</v>
      </c>
      <c r="E10" t="s">
        <v>111</v>
      </c>
      <c r="F10" t="s">
        <v>342</v>
      </c>
    </row>
    <row r="11" spans="1:6" x14ac:dyDescent="0.2">
      <c r="A11" t="s">
        <v>337</v>
      </c>
      <c r="B11" s="66">
        <f>'S1_LCOH Assumptions'!B61</f>
        <v>100</v>
      </c>
      <c r="C11" s="64">
        <f>'S1_LCOH Assumptions'!$B$61</f>
        <v>100</v>
      </c>
      <c r="D11" s="68">
        <f>'S1_LCOH Assumptions'!$B$61</f>
        <v>100</v>
      </c>
      <c r="E11" t="s">
        <v>115</v>
      </c>
      <c r="F11" t="s">
        <v>340</v>
      </c>
    </row>
    <row r="12" spans="1:6" x14ac:dyDescent="0.2">
      <c r="A12" t="s">
        <v>337</v>
      </c>
      <c r="B12" s="66">
        <f>B11/1000</f>
        <v>0.1</v>
      </c>
      <c r="C12" s="64">
        <f>C11/1000</f>
        <v>0.1</v>
      </c>
      <c r="D12" s="68">
        <f>D11/1000</f>
        <v>0.1</v>
      </c>
      <c r="E12" t="s">
        <v>572</v>
      </c>
      <c r="F12" t="s">
        <v>589</v>
      </c>
    </row>
    <row r="13" spans="1:6" x14ac:dyDescent="0.2">
      <c r="A13" t="s">
        <v>567</v>
      </c>
      <c r="B13" s="66">
        <v>10572240</v>
      </c>
      <c r="C13" s="64">
        <f>'S4_Electrolyser Assumptions'!B28</f>
        <v>10572240</v>
      </c>
      <c r="D13" s="68">
        <f>'S4_Electrolyser Assumptions'!B30</f>
        <v>42042042</v>
      </c>
      <c r="E13" t="s">
        <v>119</v>
      </c>
      <c r="F13" t="s">
        <v>687</v>
      </c>
    </row>
    <row r="14" spans="1:6" x14ac:dyDescent="0.2">
      <c r="A14" t="s">
        <v>338</v>
      </c>
      <c r="B14" s="66">
        <f>'S1_LCOH Assumptions'!$B$23/100</f>
        <v>0.9</v>
      </c>
      <c r="C14" s="64">
        <f>'S1_LCOH Assumptions'!$B$23/100</f>
        <v>0.9</v>
      </c>
      <c r="D14" s="68">
        <f>'S1_LCOH Assumptions'!$B$23/100</f>
        <v>0.9</v>
      </c>
      <c r="F14" t="s">
        <v>341</v>
      </c>
    </row>
    <row r="15" spans="1:6" x14ac:dyDescent="0.2">
      <c r="A15" t="s">
        <v>569</v>
      </c>
      <c r="B15" s="66">
        <v>0.01</v>
      </c>
      <c r="C15" s="64">
        <v>0.01</v>
      </c>
      <c r="D15" s="68">
        <v>0.01</v>
      </c>
      <c r="F15" t="s">
        <v>570</v>
      </c>
    </row>
    <row r="16" spans="1:6" x14ac:dyDescent="0.2">
      <c r="A16" t="s">
        <v>568</v>
      </c>
      <c r="B16" s="66">
        <f>B13*B14*(1-B15)</f>
        <v>9419865.8399999999</v>
      </c>
      <c r="C16" s="64">
        <f>C13*C14*(1-C15)</f>
        <v>9419865.8399999999</v>
      </c>
      <c r="D16" s="68">
        <f>D13*D14*(1-D15)</f>
        <v>37459459.422000006</v>
      </c>
      <c r="E16" t="s">
        <v>119</v>
      </c>
      <c r="F16" t="s">
        <v>117</v>
      </c>
    </row>
    <row r="17" spans="1:6" x14ac:dyDescent="0.2">
      <c r="A17" t="s">
        <v>571</v>
      </c>
      <c r="B17" s="66">
        <f>B13*B10*B12/1000000</f>
        <v>2.3258928000000001</v>
      </c>
      <c r="C17" s="64">
        <f>C13*C10*C12/1000000</f>
        <v>2.3258928000000001</v>
      </c>
      <c r="D17" s="68">
        <f>D13*D10*D12/1000000</f>
        <v>9.249249240000001</v>
      </c>
      <c r="E17" t="s">
        <v>573</v>
      </c>
      <c r="F17" t="s">
        <v>574</v>
      </c>
    </row>
    <row r="18" spans="1:6" s="63" customFormat="1" x14ac:dyDescent="0.2">
      <c r="A18" s="63" t="s">
        <v>581</v>
      </c>
      <c r="B18" s="67">
        <f>((B5*B7)+B8+B17)*1000000/B16</f>
        <v>13.272863641134681</v>
      </c>
      <c r="C18" s="65">
        <f>((C5*C7)+C8+C17)*1000000/C16</f>
        <v>10.699518164924111</v>
      </c>
      <c r="D18" s="69">
        <f>((D5*D7)+D8+D17)*1000000/D16</f>
        <v>7.6465010714820556</v>
      </c>
      <c r="E18" s="63" t="s">
        <v>576</v>
      </c>
      <c r="F18" s="63" t="s">
        <v>575</v>
      </c>
    </row>
    <row r="19" spans="1:6" s="63" customFormat="1" x14ac:dyDescent="0.2">
      <c r="A19" s="63" t="s">
        <v>582</v>
      </c>
      <c r="B19" s="74">
        <f>(B6*B7+B9+B17)*1000000/B16</f>
        <v>2.4294940218268906</v>
      </c>
      <c r="C19" s="75">
        <f>(C6*C7+C9+C17)*1000000/C16</f>
        <v>2.2162542245433499</v>
      </c>
      <c r="D19" s="76">
        <f>(D6*D7+D9+D17)*1000000/D16</f>
        <v>0.73022405305210947</v>
      </c>
      <c r="E19" s="63" t="s">
        <v>576</v>
      </c>
    </row>
    <row r="20" spans="1:6" s="73" customFormat="1" x14ac:dyDescent="0.2"/>
    <row r="21" spans="1:6" s="72" customFormat="1" x14ac:dyDescent="0.2">
      <c r="A21" s="71" t="s">
        <v>580</v>
      </c>
    </row>
  </sheetData>
  <phoneticPr fontId="2" type="noConversion"/>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D6B8-80F9-4605-8F26-A65EBD3114F4}">
  <dimension ref="A1:G20"/>
  <sheetViews>
    <sheetView workbookViewId="0"/>
  </sheetViews>
  <sheetFormatPr baseColWidth="10" defaultColWidth="34.6640625" defaultRowHeight="15" x14ac:dyDescent="0.2"/>
  <sheetData>
    <row r="1" spans="1:7" s="70" customFormat="1" x14ac:dyDescent="0.2">
      <c r="A1" s="70" t="s">
        <v>590</v>
      </c>
    </row>
    <row r="2" spans="1:7" s="77" customFormat="1" x14ac:dyDescent="0.2">
      <c r="A2" s="77" t="s">
        <v>599</v>
      </c>
    </row>
    <row r="3" spans="1:7" ht="64" x14ac:dyDescent="0.2">
      <c r="A3" s="82" t="s">
        <v>254</v>
      </c>
      <c r="B3">
        <f>'S7_LCOH results'!B18</f>
        <v>13.272863641134681</v>
      </c>
      <c r="C3" s="41" t="s">
        <v>591</v>
      </c>
      <c r="D3" s="41" t="s">
        <v>592</v>
      </c>
    </row>
    <row r="4" spans="1:7" ht="64" x14ac:dyDescent="0.2">
      <c r="A4" s="82" t="s">
        <v>255</v>
      </c>
      <c r="B4">
        <v>10.7</v>
      </c>
      <c r="C4" s="41" t="s">
        <v>591</v>
      </c>
      <c r="D4" s="41" t="s">
        <v>593</v>
      </c>
    </row>
    <row r="5" spans="1:7" ht="64" x14ac:dyDescent="0.2">
      <c r="A5" s="82" t="s">
        <v>256</v>
      </c>
      <c r="B5">
        <v>7.65</v>
      </c>
      <c r="C5" s="41" t="s">
        <v>591</v>
      </c>
      <c r="D5" s="41" t="s">
        <v>594</v>
      </c>
    </row>
    <row r="6" spans="1:7" ht="80" x14ac:dyDescent="0.2">
      <c r="A6" s="83" t="s">
        <v>595</v>
      </c>
      <c r="B6">
        <v>2.42</v>
      </c>
      <c r="C6" t="s">
        <v>596</v>
      </c>
      <c r="D6" s="41" t="s">
        <v>597</v>
      </c>
    </row>
    <row r="7" spans="1:7" ht="80" x14ac:dyDescent="0.2">
      <c r="A7" s="83" t="s">
        <v>598</v>
      </c>
      <c r="B7">
        <v>2.21</v>
      </c>
      <c r="C7" t="s">
        <v>596</v>
      </c>
      <c r="D7" s="41" t="s">
        <v>597</v>
      </c>
    </row>
    <row r="8" spans="1:7" ht="80" x14ac:dyDescent="0.2">
      <c r="A8" s="83" t="s">
        <v>595</v>
      </c>
      <c r="B8">
        <v>0.73</v>
      </c>
      <c r="C8" t="s">
        <v>596</v>
      </c>
      <c r="D8" s="41" t="s">
        <v>597</v>
      </c>
    </row>
    <row r="10" spans="1:7" s="77" customFormat="1" ht="16" x14ac:dyDescent="0.2">
      <c r="A10" s="78" t="s">
        <v>600</v>
      </c>
    </row>
    <row r="11" spans="1:7" s="1" customFormat="1" x14ac:dyDescent="0.2">
      <c r="A11" s="1" t="s">
        <v>601</v>
      </c>
      <c r="B11" s="1" t="s">
        <v>110</v>
      </c>
      <c r="C11" s="1" t="s">
        <v>602</v>
      </c>
      <c r="D11" s="1" t="s">
        <v>603</v>
      </c>
      <c r="E11" s="80" t="s">
        <v>32</v>
      </c>
      <c r="F11" s="1" t="s">
        <v>3</v>
      </c>
    </row>
    <row r="12" spans="1:7" ht="48" x14ac:dyDescent="0.2">
      <c r="A12" s="83" t="s">
        <v>604</v>
      </c>
      <c r="B12" t="s">
        <v>605</v>
      </c>
      <c r="C12" s="41" t="s">
        <v>610</v>
      </c>
      <c r="D12" t="s">
        <v>606</v>
      </c>
      <c r="E12" s="79">
        <v>2022</v>
      </c>
      <c r="F12" s="41" t="s">
        <v>607</v>
      </c>
      <c r="G12" s="41"/>
    </row>
    <row r="13" spans="1:7" ht="48" x14ac:dyDescent="0.2">
      <c r="A13" s="83" t="s">
        <v>608</v>
      </c>
      <c r="B13" t="s">
        <v>609</v>
      </c>
      <c r="C13" s="41" t="s">
        <v>610</v>
      </c>
      <c r="D13" t="s">
        <v>606</v>
      </c>
      <c r="E13" s="79">
        <v>2022</v>
      </c>
      <c r="F13" s="41" t="s">
        <v>607</v>
      </c>
      <c r="G13" s="41"/>
    </row>
    <row r="15" spans="1:7" s="77" customFormat="1" ht="16" x14ac:dyDescent="0.2">
      <c r="A15" s="78" t="s">
        <v>611</v>
      </c>
    </row>
    <row r="16" spans="1:7" s="1" customFormat="1" x14ac:dyDescent="0.2">
      <c r="A16" s="1" t="s">
        <v>601</v>
      </c>
      <c r="B16" s="1" t="s">
        <v>110</v>
      </c>
      <c r="C16" s="1" t="s">
        <v>602</v>
      </c>
      <c r="D16" s="1" t="s">
        <v>603</v>
      </c>
      <c r="E16" s="1" t="s">
        <v>612</v>
      </c>
      <c r="F16" s="1" t="s">
        <v>3</v>
      </c>
    </row>
    <row r="17" spans="1:6" ht="64" x14ac:dyDescent="0.2">
      <c r="A17" s="81" t="s">
        <v>613</v>
      </c>
      <c r="B17" s="41" t="s">
        <v>614</v>
      </c>
      <c r="C17" t="s">
        <v>596</v>
      </c>
      <c r="D17" t="s">
        <v>615</v>
      </c>
      <c r="E17" t="s">
        <v>616</v>
      </c>
      <c r="F17" s="41" t="s">
        <v>617</v>
      </c>
    </row>
    <row r="18" spans="1:6" ht="48" x14ac:dyDescent="0.2">
      <c r="A18" s="81" t="s">
        <v>618</v>
      </c>
      <c r="B18" s="41" t="s">
        <v>619</v>
      </c>
      <c r="C18" t="s">
        <v>596</v>
      </c>
      <c r="D18" t="s">
        <v>615</v>
      </c>
      <c r="E18" s="41" t="s">
        <v>620</v>
      </c>
      <c r="F18" s="41" t="s">
        <v>621</v>
      </c>
    </row>
    <row r="19" spans="1:6" ht="64" x14ac:dyDescent="0.2">
      <c r="A19" s="81" t="s">
        <v>622</v>
      </c>
      <c r="B19" s="41" t="s">
        <v>623</v>
      </c>
      <c r="C19" t="s">
        <v>596</v>
      </c>
      <c r="D19" t="s">
        <v>624</v>
      </c>
      <c r="E19" t="s">
        <v>625</v>
      </c>
      <c r="F19" s="41" t="s">
        <v>626</v>
      </c>
    </row>
    <row r="20" spans="1:6" ht="48" x14ac:dyDescent="0.2">
      <c r="A20" s="81" t="s">
        <v>627</v>
      </c>
      <c r="B20" s="41" t="s">
        <v>628</v>
      </c>
      <c r="C20" t="s">
        <v>596</v>
      </c>
      <c r="D20" t="s">
        <v>624</v>
      </c>
      <c r="E20" t="s">
        <v>629</v>
      </c>
      <c r="F20" s="41" t="s">
        <v>630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E25C4981CB14F8799B74819B7AC08" ma:contentTypeVersion="19" ma:contentTypeDescription="Create a new document." ma:contentTypeScope="" ma:versionID="18d4b79e7e30ffb061354ebd9b6fb1ea">
  <xsd:schema xmlns:xsd="http://www.w3.org/2001/XMLSchema" xmlns:xs="http://www.w3.org/2001/XMLSchema" xmlns:p="http://schemas.microsoft.com/office/2006/metadata/properties" xmlns:ns2="f67d1f72-31b2-4db8-9eba-6a53a0e1fea9" xmlns:ns3="a34d2c86-9072-4ad0-aac0-6de0c221a924" targetNamespace="http://schemas.microsoft.com/office/2006/metadata/properties" ma:root="true" ma:fieldsID="4fb9824bbe181eb93ec28b43918b8331" ns2:_="" ns3:_="">
    <xsd:import namespace="f67d1f72-31b2-4db8-9eba-6a53a0e1fea9"/>
    <xsd:import namespace="a34d2c86-9072-4ad0-aac0-6de0c221a9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1f72-31b2-4db8-9eba-6a53a0e1f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7fece0-7c67-4b6d-b059-36af53aee6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d2c86-9072-4ad0-aac0-6de0c221a9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35a2cd-b9e7-4914-9da1-8e74cad9c42d}" ma:internalName="TaxCatchAll" ma:showField="CatchAllData" ma:web="a34d2c86-9072-4ad0-aac0-6de0c221a9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4d2c86-9072-4ad0-aac0-6de0c221a924" xsi:nil="true"/>
    <lcf76f155ced4ddcb4097134ff3c332f xmlns="f67d1f72-31b2-4db8-9eba-6a53a0e1fe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15FFBB-01E5-4A49-A317-4CB98DC75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d1f72-31b2-4db8-9eba-6a53a0e1fea9"/>
    <ds:schemaRef ds:uri="a34d2c86-9072-4ad0-aac0-6de0c221a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8939E9-A3B5-4307-AD6B-A7A49346D15E}">
  <ds:schemaRefs>
    <ds:schemaRef ds:uri="http://schemas.microsoft.com/office/2006/documentManagement/types"/>
    <ds:schemaRef ds:uri="http://purl.org/dc/dcmitype/"/>
    <ds:schemaRef ds:uri="a34d2c86-9072-4ad0-aac0-6de0c221a924"/>
    <ds:schemaRef ds:uri="http://www.w3.org/XML/1998/namespac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f67d1f72-31b2-4db8-9eba-6a53a0e1fea9"/>
  </ds:schemaRefs>
</ds:datastoreItem>
</file>

<file path=customXml/itemProps3.xml><?xml version="1.0" encoding="utf-8"?>
<ds:datastoreItem xmlns:ds="http://schemas.openxmlformats.org/officeDocument/2006/customXml" ds:itemID="{7BE8E5F1-CEA4-4B2C-B05E-8CA61F46B9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Overview</vt:lpstr>
      <vt:lpstr>S1_LCOH Assumptions</vt:lpstr>
      <vt:lpstr>S2_Storage CAPEX</vt:lpstr>
      <vt:lpstr>S3_Storage OPEX</vt:lpstr>
      <vt:lpstr>S4_Electrolyser Assumptions</vt:lpstr>
      <vt:lpstr>S5_Electrolyser CAPEX</vt:lpstr>
      <vt:lpstr>S6_Electrolyser OPEX</vt:lpstr>
      <vt:lpstr>S7_LCOH results</vt:lpstr>
      <vt:lpstr>S8_Benchmark comparison</vt:lpstr>
      <vt:lpstr>S9_LCOH sensitivity</vt:lpstr>
      <vt:lpstr>S10_CCGT Assumptions</vt:lpstr>
      <vt:lpstr>S11_CCGT Calculations</vt:lpstr>
      <vt:lpstr>S12_Cost competitiveness</vt:lpstr>
      <vt:lpstr>S13_CCGT Sensitivity</vt:lpstr>
      <vt:lpstr>S14_LCOH Charts</vt:lpstr>
      <vt:lpstr>S15_CCGT Charts</vt:lpstr>
      <vt:lpstr>S16_Chart Data LCOH</vt:lpstr>
      <vt:lpstr>S17_Chart Data CCGT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HAMNA HABEEB</dc:creator>
  <cp:lastModifiedBy>Alan Brent</cp:lastModifiedBy>
  <dcterms:created xsi:type="dcterms:W3CDTF">2026-05-10T02:59:01Z</dcterms:created>
  <dcterms:modified xsi:type="dcterms:W3CDTF">2026-08-11T02:48:28Z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0x010100EF4E25C4981CB14F8799B74819B7AC08</vt:lpwstr>
  </property>
  <property fmtid="{D5CDD505-2E9C-101B-9397-08002B2CF9AE}" pid="3" name="MediaServiceImageTags">
    <vt:lpwstr/>
  </property>
</Properties>
</file>