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comments5.xml" ContentType="application/vnd.openxmlformats-officedocument.spreadsheetml.comments+xml"/>
  <Override PartName="/xl/comments4.xml" ContentType="application/vnd.openxmlformats-officedocument.spreadsheetml.comments+xml"/>
  <Override PartName="/xl/comments3.xml" ContentType="application/vnd.openxmlformats-officedocument.spreadsheetml.comments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w.sharepoint.com/sites/ECS_SustainableEnergySystems/Shared Documents/Publications/ASES/2026/Kerry Pep/"/>
    </mc:Choice>
  </mc:AlternateContent>
  <xr:revisionPtr revIDLastSave="1" documentId="8_{7AFCCC9D-FF92-5D42-9AE4-E8DA360AAD17}" xr6:coauthVersionLast="47" xr6:coauthVersionMax="47" xr10:uidLastSave="{6BBDC44F-8C15-ED41-A003-0FF370503160}"/>
  <bookViews>
    <workbookView xWindow="0" yWindow="660" windowWidth="24260" windowHeight="13020" tabRatio="884" xr2:uid="{B70AB0AA-BA79-4E3E-BB6A-8DA342013E91}"/>
  </bookViews>
  <sheets>
    <sheet name="Contents" sheetId="22" r:id="rId1"/>
    <sheet name="Literature review" sheetId="24" r:id="rId2"/>
    <sheet name="FPV array modelling" sheetId="25" r:id="rId3"/>
    <sheet name="FPV Tech analysis" sheetId="20" r:id="rId4"/>
    <sheet name="PHS Tech analysis" sheetId="21" r:id="rId5"/>
    <sheet name="FPV 30 Years" sheetId="1" state="hidden" r:id="rId6"/>
    <sheet name="FPV 60 Years" sheetId="14" r:id="rId7"/>
    <sheet name="Scenario 1" sheetId="2" r:id="rId8"/>
    <sheet name="Scenario 2" sheetId="23" r:id="rId9"/>
    <sheet name="FPV Sensitivity" sheetId="16" r:id="rId10"/>
    <sheet name="PSH Sensitivity" sheetId="1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3" i="20" l="1"/>
  <c r="D37" i="21" l="1"/>
  <c r="F44" i="23" l="1"/>
  <c r="F45" i="23"/>
  <c r="F42" i="23"/>
  <c r="D42" i="23"/>
  <c r="BN41" i="23"/>
  <c r="BM41" i="23"/>
  <c r="BL41" i="23"/>
  <c r="BK41" i="23"/>
  <c r="BJ41" i="23"/>
  <c r="BI41" i="23"/>
  <c r="BH41" i="23"/>
  <c r="BG41" i="23"/>
  <c r="BF41" i="23"/>
  <c r="BE41" i="23"/>
  <c r="BD41" i="23"/>
  <c r="BC41" i="23"/>
  <c r="BB41" i="23"/>
  <c r="BA41" i="23"/>
  <c r="AZ41" i="23"/>
  <c r="AY41" i="23"/>
  <c r="AX41" i="23"/>
  <c r="AW41" i="23"/>
  <c r="AV41" i="23"/>
  <c r="AU41" i="23"/>
  <c r="AT41" i="23"/>
  <c r="AS41" i="23"/>
  <c r="AR41" i="23"/>
  <c r="AQ41" i="23"/>
  <c r="AP41" i="23"/>
  <c r="AO41" i="23"/>
  <c r="AN41" i="23"/>
  <c r="AM41" i="23"/>
  <c r="AL41" i="23"/>
  <c r="AK41" i="23"/>
  <c r="AJ41" i="23"/>
  <c r="AI41" i="23"/>
  <c r="AH41" i="23"/>
  <c r="AG41" i="23"/>
  <c r="AF41" i="23"/>
  <c r="AE41" i="23"/>
  <c r="AD41" i="23"/>
  <c r="AC41" i="23"/>
  <c r="AB41" i="23"/>
  <c r="AA41" i="23"/>
  <c r="Z41" i="23"/>
  <c r="Y41" i="23"/>
  <c r="X41" i="23"/>
  <c r="W41" i="23"/>
  <c r="V41" i="23"/>
  <c r="U41" i="23"/>
  <c r="T41" i="23"/>
  <c r="S41" i="23"/>
  <c r="R41" i="23"/>
  <c r="Q41" i="23"/>
  <c r="P41" i="23"/>
  <c r="O41" i="23"/>
  <c r="N41" i="23"/>
  <c r="M41" i="23"/>
  <c r="L41" i="23"/>
  <c r="K41" i="23"/>
  <c r="J41" i="23"/>
  <c r="I41" i="23"/>
  <c r="H41" i="23"/>
  <c r="G41" i="23"/>
  <c r="D41" i="23"/>
  <c r="F41" i="23" s="1"/>
  <c r="F36" i="23"/>
  <c r="F38" i="23" s="1"/>
  <c r="F48" i="23" s="1"/>
  <c r="BN35" i="23"/>
  <c r="BM35" i="23"/>
  <c r="BM36" i="23" s="1"/>
  <c r="BL35" i="23"/>
  <c r="BL36" i="23" s="1"/>
  <c r="BK35" i="23"/>
  <c r="BK36" i="23" s="1"/>
  <c r="BJ35" i="23"/>
  <c r="BI35" i="23"/>
  <c r="BI36" i="23" s="1"/>
  <c r="BH35" i="23"/>
  <c r="BG35" i="23"/>
  <c r="BG36" i="23" s="1"/>
  <c r="BF35" i="23"/>
  <c r="BF36" i="23" s="1"/>
  <c r="BE35" i="23"/>
  <c r="BE36" i="23" s="1"/>
  <c r="BD35" i="23"/>
  <c r="BD36" i="23" s="1"/>
  <c r="BC35" i="23"/>
  <c r="BB35" i="23"/>
  <c r="BA35" i="23"/>
  <c r="BA36" i="23" s="1"/>
  <c r="AZ35" i="23"/>
  <c r="AZ36" i="23" s="1"/>
  <c r="AY35" i="23"/>
  <c r="AY36" i="23" s="1"/>
  <c r="AX35" i="23"/>
  <c r="AW35" i="23"/>
  <c r="AW36" i="23" s="1"/>
  <c r="AV35" i="23"/>
  <c r="AU35" i="23"/>
  <c r="AU36" i="23" s="1"/>
  <c r="AT35" i="23"/>
  <c r="AT36" i="23" s="1"/>
  <c r="AS35" i="23"/>
  <c r="AS36" i="23" s="1"/>
  <c r="AR35" i="23"/>
  <c r="AR36" i="23" s="1"/>
  <c r="AQ35" i="23"/>
  <c r="AP35" i="23"/>
  <c r="AO35" i="23"/>
  <c r="AO36" i="23" s="1"/>
  <c r="AN35" i="23"/>
  <c r="AN36" i="23" s="1"/>
  <c r="AM35" i="23"/>
  <c r="AM36" i="23" s="1"/>
  <c r="AL35" i="23"/>
  <c r="AK35" i="23"/>
  <c r="AK36" i="23" s="1"/>
  <c r="AJ35" i="23"/>
  <c r="AI35" i="23"/>
  <c r="AI36" i="23" s="1"/>
  <c r="AH35" i="23"/>
  <c r="AH36" i="23" s="1"/>
  <c r="AG35" i="23"/>
  <c r="AG36" i="23" s="1"/>
  <c r="AF35" i="23"/>
  <c r="AF36" i="23" s="1"/>
  <c r="AE35" i="23"/>
  <c r="AD35" i="23"/>
  <c r="AC35" i="23"/>
  <c r="AC36" i="23" s="1"/>
  <c r="AB35" i="23"/>
  <c r="AB36" i="23" s="1"/>
  <c r="AA35" i="23"/>
  <c r="AA36" i="23" s="1"/>
  <c r="Z35" i="23"/>
  <c r="Y35" i="23"/>
  <c r="Y36" i="23" s="1"/>
  <c r="X35" i="23"/>
  <c r="W35" i="23"/>
  <c r="W36" i="23" s="1"/>
  <c r="V35" i="23"/>
  <c r="V36" i="23" s="1"/>
  <c r="U35" i="23"/>
  <c r="U42" i="23" s="1"/>
  <c r="T35" i="23"/>
  <c r="T36" i="23" s="1"/>
  <c r="S35" i="23"/>
  <c r="R35" i="23"/>
  <c r="Q35" i="23"/>
  <c r="Q36" i="23" s="1"/>
  <c r="P35" i="23"/>
  <c r="P36" i="23" s="1"/>
  <c r="O35" i="23"/>
  <c r="O36" i="23" s="1"/>
  <c r="N35" i="23"/>
  <c r="M35" i="23"/>
  <c r="M36" i="23" s="1"/>
  <c r="L35" i="23"/>
  <c r="K35" i="23"/>
  <c r="K36" i="23" s="1"/>
  <c r="J35" i="23"/>
  <c r="J36" i="23" s="1"/>
  <c r="I35" i="23"/>
  <c r="I36" i="23" s="1"/>
  <c r="H35" i="23"/>
  <c r="H36" i="23" s="1"/>
  <c r="G35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AR32" i="23"/>
  <c r="AQ32" i="23"/>
  <c r="AP32" i="23"/>
  <c r="AO32" i="23"/>
  <c r="AN32" i="23"/>
  <c r="AM32" i="23"/>
  <c r="AL32" i="23"/>
  <c r="AK32" i="23"/>
  <c r="AJ32" i="23"/>
  <c r="AI32" i="23"/>
  <c r="AH32" i="23"/>
  <c r="AG32" i="23"/>
  <c r="AF32" i="23"/>
  <c r="AE32" i="23"/>
  <c r="AD32" i="23"/>
  <c r="AC32" i="23"/>
  <c r="AB32" i="23"/>
  <c r="AA32" i="23"/>
  <c r="Z32" i="23"/>
  <c r="Y32" i="23"/>
  <c r="X32" i="23"/>
  <c r="W32" i="23"/>
  <c r="V32" i="23"/>
  <c r="U32" i="23"/>
  <c r="T32" i="23"/>
  <c r="S32" i="23"/>
  <c r="R32" i="23"/>
  <c r="Q32" i="23"/>
  <c r="P32" i="23"/>
  <c r="O32" i="23"/>
  <c r="N32" i="23"/>
  <c r="M32" i="23"/>
  <c r="L32" i="23"/>
  <c r="K32" i="23"/>
  <c r="J32" i="23"/>
  <c r="I32" i="23"/>
  <c r="H32" i="23"/>
  <c r="G32" i="23"/>
  <c r="C23" i="23"/>
  <c r="C24" i="23" s="1"/>
  <c r="BB34" i="23" s="1"/>
  <c r="Y34" i="23" l="1"/>
  <c r="BH34" i="23"/>
  <c r="BI34" i="23"/>
  <c r="C26" i="23"/>
  <c r="D45" i="23" s="1"/>
  <c r="G45" i="23" s="1"/>
  <c r="C25" i="23"/>
  <c r="D44" i="23" s="1"/>
  <c r="H44" i="23" s="1"/>
  <c r="X34" i="23"/>
  <c r="Z34" i="23"/>
  <c r="G42" i="23"/>
  <c r="S42" i="23"/>
  <c r="AE42" i="23"/>
  <c r="AQ42" i="23"/>
  <c r="BC42" i="23"/>
  <c r="AO42" i="23"/>
  <c r="U36" i="23"/>
  <c r="Q42" i="23"/>
  <c r="AC42" i="23"/>
  <c r="AG42" i="23"/>
  <c r="V42" i="23"/>
  <c r="BE42" i="23"/>
  <c r="BM42" i="23"/>
  <c r="AA42" i="23"/>
  <c r="AM42" i="23"/>
  <c r="BL42" i="23"/>
  <c r="AS42" i="23"/>
  <c r="AY42" i="23"/>
  <c r="G33" i="23"/>
  <c r="H33" i="23" s="1"/>
  <c r="I42" i="23"/>
  <c r="BA42" i="23"/>
  <c r="O42" i="23"/>
  <c r="BK42" i="23"/>
  <c r="BN45" i="23"/>
  <c r="BL34" i="23"/>
  <c r="AZ34" i="23"/>
  <c r="AN34" i="23"/>
  <c r="AB34" i="23"/>
  <c r="P34" i="23"/>
  <c r="BK34" i="23"/>
  <c r="AM34" i="23"/>
  <c r="AA34" i="23"/>
  <c r="O34" i="23"/>
  <c r="AY34" i="23"/>
  <c r="BG34" i="23"/>
  <c r="AU34" i="23"/>
  <c r="AI34" i="23"/>
  <c r="W34" i="23"/>
  <c r="K34" i="23"/>
  <c r="BF34" i="23"/>
  <c r="AT34" i="23"/>
  <c r="AH34" i="23"/>
  <c r="V34" i="23"/>
  <c r="BD34" i="23"/>
  <c r="AF34" i="23"/>
  <c r="T34" i="23"/>
  <c r="J34" i="23"/>
  <c r="AR34" i="23"/>
  <c r="AQ34" i="23"/>
  <c r="BE34" i="23"/>
  <c r="AS34" i="23"/>
  <c r="AG34" i="23"/>
  <c r="U34" i="23"/>
  <c r="I34" i="23"/>
  <c r="H34" i="23"/>
  <c r="BC34" i="23"/>
  <c r="BM34" i="23"/>
  <c r="BA34" i="23"/>
  <c r="AO34" i="23"/>
  <c r="AC34" i="23"/>
  <c r="Q34" i="23"/>
  <c r="AP42" i="23"/>
  <c r="AP36" i="23"/>
  <c r="AJ34" i="23"/>
  <c r="BJ34" i="23"/>
  <c r="AD42" i="23"/>
  <c r="AD36" i="23"/>
  <c r="G34" i="23"/>
  <c r="AK34" i="23"/>
  <c r="R42" i="23"/>
  <c r="R36" i="23"/>
  <c r="L34" i="23"/>
  <c r="AD34" i="23"/>
  <c r="BN42" i="23"/>
  <c r="BN36" i="23"/>
  <c r="AL34" i="23"/>
  <c r="AP34" i="23"/>
  <c r="AE34" i="23"/>
  <c r="BB42" i="23"/>
  <c r="BB36" i="23"/>
  <c r="R34" i="23"/>
  <c r="L36" i="23"/>
  <c r="L42" i="23"/>
  <c r="X36" i="23"/>
  <c r="X42" i="23"/>
  <c r="AJ36" i="23"/>
  <c r="AJ42" i="23"/>
  <c r="AV36" i="23"/>
  <c r="AV42" i="23"/>
  <c r="BH36" i="23"/>
  <c r="BH42" i="23"/>
  <c r="BN34" i="23"/>
  <c r="M34" i="23"/>
  <c r="N34" i="23"/>
  <c r="AV34" i="23"/>
  <c r="AW34" i="23"/>
  <c r="S34" i="23"/>
  <c r="AX34" i="23"/>
  <c r="M42" i="23"/>
  <c r="Y42" i="23"/>
  <c r="AK42" i="23"/>
  <c r="N36" i="23"/>
  <c r="N42" i="23"/>
  <c r="Z36" i="23"/>
  <c r="Z42" i="23"/>
  <c r="AL36" i="23"/>
  <c r="AL42" i="23"/>
  <c r="AX36" i="23"/>
  <c r="AX42" i="23"/>
  <c r="BJ36" i="23"/>
  <c r="BJ42" i="23"/>
  <c r="H42" i="23"/>
  <c r="T42" i="23"/>
  <c r="AF42" i="23"/>
  <c r="AR42" i="23"/>
  <c r="BD42" i="23"/>
  <c r="AT42" i="23"/>
  <c r="G36" i="23"/>
  <c r="AE36" i="23"/>
  <c r="AQ36" i="23"/>
  <c r="K42" i="23"/>
  <c r="W42" i="23"/>
  <c r="AI42" i="23"/>
  <c r="AU42" i="23"/>
  <c r="BG42" i="23"/>
  <c r="J42" i="23"/>
  <c r="AH42" i="23"/>
  <c r="BF42" i="23"/>
  <c r="S36" i="23"/>
  <c r="AW42" i="23"/>
  <c r="BC36" i="23"/>
  <c r="BI42" i="23"/>
  <c r="P42" i="23"/>
  <c r="AB42" i="23"/>
  <c r="AN42" i="23"/>
  <c r="AZ42" i="23"/>
  <c r="M44" i="23" l="1"/>
  <c r="Y44" i="23"/>
  <c r="AK44" i="23"/>
  <c r="AW44" i="23"/>
  <c r="BI44" i="23"/>
  <c r="BH44" i="23"/>
  <c r="N44" i="23"/>
  <c r="Z44" i="23"/>
  <c r="AL44" i="23"/>
  <c r="AX44" i="23"/>
  <c r="BJ44" i="23"/>
  <c r="BC44" i="23"/>
  <c r="U44" i="23"/>
  <c r="O44" i="23"/>
  <c r="AA44" i="23"/>
  <c r="AM44" i="23"/>
  <c r="AY44" i="23"/>
  <c r="BK44" i="23"/>
  <c r="AQ44" i="23"/>
  <c r="AG44" i="23"/>
  <c r="P44" i="23"/>
  <c r="AB44" i="23"/>
  <c r="AN44" i="23"/>
  <c r="AZ44" i="23"/>
  <c r="BL44" i="23"/>
  <c r="Q44" i="23"/>
  <c r="AC44" i="23"/>
  <c r="AO44" i="23"/>
  <c r="BA44" i="23"/>
  <c r="BM44" i="23"/>
  <c r="S44" i="23"/>
  <c r="AE44" i="23"/>
  <c r="BE44" i="23"/>
  <c r="AI44" i="23"/>
  <c r="L44" i="23"/>
  <c r="R44" i="23"/>
  <c r="AD44" i="23"/>
  <c r="AP44" i="23"/>
  <c r="BB44" i="23"/>
  <c r="BN44" i="23"/>
  <c r="X44" i="23"/>
  <c r="W44" i="23"/>
  <c r="AJ44" i="23"/>
  <c r="T44" i="23"/>
  <c r="AF44" i="23"/>
  <c r="AR44" i="23"/>
  <c r="BD44" i="23"/>
  <c r="I44" i="23"/>
  <c r="AS44" i="23"/>
  <c r="G44" i="23"/>
  <c r="BG44" i="23"/>
  <c r="J44" i="23"/>
  <c r="V44" i="23"/>
  <c r="AH44" i="23"/>
  <c r="AT44" i="23"/>
  <c r="BF44" i="23"/>
  <c r="K44" i="23"/>
  <c r="AU44" i="23"/>
  <c r="AV44" i="23"/>
  <c r="AC45" i="23"/>
  <c r="E41" i="23"/>
  <c r="AF45" i="23"/>
  <c r="G38" i="23"/>
  <c r="AV45" i="23"/>
  <c r="R45" i="23"/>
  <c r="P45" i="23"/>
  <c r="AT45" i="23"/>
  <c r="BF45" i="23"/>
  <c r="BK45" i="23"/>
  <c r="J45" i="23"/>
  <c r="AY45" i="23"/>
  <c r="Z45" i="23"/>
  <c r="K45" i="23"/>
  <c r="AZ45" i="23"/>
  <c r="BE45" i="23"/>
  <c r="AD45" i="23"/>
  <c r="L45" i="23"/>
  <c r="O45" i="23"/>
  <c r="AW45" i="23"/>
  <c r="BB45" i="23"/>
  <c r="BJ45" i="23"/>
  <c r="BD45" i="23"/>
  <c r="BH45" i="23"/>
  <c r="N45" i="23"/>
  <c r="AE45" i="23"/>
  <c r="AS45" i="23"/>
  <c r="BC45" i="23"/>
  <c r="Y45" i="23"/>
  <c r="AQ45" i="23"/>
  <c r="AR45" i="23"/>
  <c r="M45" i="23"/>
  <c r="AG45" i="23"/>
  <c r="AM45" i="23"/>
  <c r="AH45" i="23"/>
  <c r="T45" i="23"/>
  <c r="S45" i="23"/>
  <c r="AP45" i="23"/>
  <c r="AB45" i="23"/>
  <c r="AA45" i="23"/>
  <c r="V45" i="23"/>
  <c r="H45" i="23"/>
  <c r="AX45" i="23"/>
  <c r="BI45" i="23"/>
  <c r="AJ45" i="23"/>
  <c r="U45" i="23"/>
  <c r="E42" i="23"/>
  <c r="AK45" i="23"/>
  <c r="I45" i="23"/>
  <c r="BG45" i="23"/>
  <c r="AL45" i="23"/>
  <c r="X45" i="23"/>
  <c r="AU45" i="23"/>
  <c r="H38" i="23"/>
  <c r="H48" i="23" s="1"/>
  <c r="I33" i="23"/>
  <c r="E34" i="23"/>
  <c r="BL45" i="23"/>
  <c r="BM45" i="23"/>
  <c r="AI45" i="23"/>
  <c r="AN45" i="23"/>
  <c r="BA45" i="23"/>
  <c r="W45" i="23"/>
  <c r="AO45" i="23"/>
  <c r="F49" i="23"/>
  <c r="Q45" i="23"/>
  <c r="E44" i="23" l="1"/>
  <c r="G48" i="23"/>
  <c r="G49" i="23" s="1"/>
  <c r="E45" i="23"/>
  <c r="I38" i="23"/>
  <c r="I48" i="23" s="1"/>
  <c r="J33" i="23"/>
  <c r="E47" i="23" l="1"/>
  <c r="E46" i="23"/>
  <c r="H49" i="23"/>
  <c r="J38" i="23"/>
  <c r="J48" i="23" s="1"/>
  <c r="K33" i="23"/>
  <c r="I49" i="23" l="1"/>
  <c r="K38" i="23"/>
  <c r="K48" i="23" s="1"/>
  <c r="L33" i="23"/>
  <c r="J49" i="23" l="1"/>
  <c r="K49" i="23" s="1"/>
  <c r="L38" i="23"/>
  <c r="L48" i="23" s="1"/>
  <c r="M33" i="23"/>
  <c r="L49" i="23" l="1"/>
  <c r="M38" i="23"/>
  <c r="M48" i="23" s="1"/>
  <c r="N33" i="23"/>
  <c r="N38" i="23" l="1"/>
  <c r="N48" i="23" s="1"/>
  <c r="O33" i="23"/>
  <c r="M49" i="23"/>
  <c r="N49" i="23" l="1"/>
  <c r="P33" i="23"/>
  <c r="O38" i="23"/>
  <c r="O48" i="23" s="1"/>
  <c r="O49" i="23" l="1"/>
  <c r="Q33" i="23"/>
  <c r="P38" i="23"/>
  <c r="P48" i="23" s="1"/>
  <c r="P49" i="23" l="1"/>
  <c r="Q38" i="23"/>
  <c r="Q48" i="23" s="1"/>
  <c r="R33" i="23"/>
  <c r="Q49" i="23" l="1"/>
  <c r="R38" i="23"/>
  <c r="R48" i="23" s="1"/>
  <c r="S33" i="23"/>
  <c r="R49" i="23" l="1"/>
  <c r="E53" i="23"/>
  <c r="S38" i="23"/>
  <c r="S48" i="23" s="1"/>
  <c r="T33" i="23"/>
  <c r="S49" i="23" l="1"/>
  <c r="T38" i="23"/>
  <c r="T48" i="23" s="1"/>
  <c r="U33" i="23"/>
  <c r="T49" i="23" l="1"/>
  <c r="U38" i="23"/>
  <c r="U48" i="23" s="1"/>
  <c r="V33" i="23"/>
  <c r="U49" i="23" l="1"/>
  <c r="V38" i="23"/>
  <c r="V48" i="23" s="1"/>
  <c r="W33" i="23"/>
  <c r="V49" i="23" l="1"/>
  <c r="X33" i="23"/>
  <c r="W38" i="23"/>
  <c r="W48" i="23" s="1"/>
  <c r="W49" i="23" l="1"/>
  <c r="X38" i="23"/>
  <c r="X48" i="23" s="1"/>
  <c r="Y33" i="23"/>
  <c r="X49" i="23" l="1"/>
  <c r="Y38" i="23"/>
  <c r="Y48" i="23" s="1"/>
  <c r="Z33" i="23"/>
  <c r="Y49" i="23" l="1"/>
  <c r="Z38" i="23"/>
  <c r="Z48" i="23" s="1"/>
  <c r="AA33" i="23"/>
  <c r="Z49" i="23" l="1"/>
  <c r="AB33" i="23"/>
  <c r="AA38" i="23"/>
  <c r="AA48" i="23" s="1"/>
  <c r="AA49" i="23" l="1"/>
  <c r="AC33" i="23"/>
  <c r="AB38" i="23"/>
  <c r="AB48" i="23" s="1"/>
  <c r="AB49" i="23" l="1"/>
  <c r="AC38" i="23"/>
  <c r="AC48" i="23" s="1"/>
  <c r="AD33" i="23"/>
  <c r="AC49" i="23" l="1"/>
  <c r="AD38" i="23"/>
  <c r="AD48" i="23" s="1"/>
  <c r="AE33" i="23"/>
  <c r="AD49" i="23" l="1"/>
  <c r="AE38" i="23"/>
  <c r="AE48" i="23" s="1"/>
  <c r="AF33" i="23"/>
  <c r="AE49" i="23" l="1"/>
  <c r="AF38" i="23"/>
  <c r="AF48" i="23" s="1"/>
  <c r="AG33" i="23"/>
  <c r="AF49" i="23" l="1"/>
  <c r="AG38" i="23"/>
  <c r="AG48" i="23" s="1"/>
  <c r="AH33" i="23"/>
  <c r="AG49" i="23" l="1"/>
  <c r="AH38" i="23"/>
  <c r="AH48" i="23" s="1"/>
  <c r="AI33" i="23"/>
  <c r="AH49" i="23" l="1"/>
  <c r="AI38" i="23"/>
  <c r="AJ33" i="23"/>
  <c r="AI48" i="23" l="1"/>
  <c r="AI49" i="23" s="1"/>
  <c r="AJ38" i="23"/>
  <c r="AK33" i="23"/>
  <c r="AJ48" i="23" l="1"/>
  <c r="AJ49" i="23" s="1"/>
  <c r="AK38" i="23"/>
  <c r="AL33" i="23"/>
  <c r="AK48" i="23" l="1"/>
  <c r="AK49" i="23" s="1"/>
  <c r="AL38" i="23"/>
  <c r="AM33" i="23"/>
  <c r="AL48" i="23" l="1"/>
  <c r="AL49" i="23" s="1"/>
  <c r="AN33" i="23"/>
  <c r="AM38" i="23"/>
  <c r="AM48" i="23" l="1"/>
  <c r="AM49" i="23" s="1"/>
  <c r="AO33" i="23"/>
  <c r="AN38" i="23"/>
  <c r="AN48" i="23" l="1"/>
  <c r="AN49" i="23" s="1"/>
  <c r="AO38" i="23"/>
  <c r="AP33" i="23"/>
  <c r="AO48" i="23" l="1"/>
  <c r="AO49" i="23" s="1"/>
  <c r="AP38" i="23"/>
  <c r="AQ33" i="23"/>
  <c r="AP48" i="23" l="1"/>
  <c r="AP49" i="23" s="1"/>
  <c r="AQ38" i="23"/>
  <c r="AR33" i="23"/>
  <c r="AQ48" i="23" l="1"/>
  <c r="AQ49" i="23" s="1"/>
  <c r="AR38" i="23"/>
  <c r="AS33" i="23"/>
  <c r="AR48" i="23" l="1"/>
  <c r="AR49" i="23" s="1"/>
  <c r="AS38" i="23"/>
  <c r="AT33" i="23"/>
  <c r="AS48" i="23" l="1"/>
  <c r="AS49" i="23" s="1"/>
  <c r="AT38" i="23"/>
  <c r="AU33" i="23"/>
  <c r="AT48" i="23" l="1"/>
  <c r="AT49" i="23" s="1"/>
  <c r="AU38" i="23"/>
  <c r="AV33" i="23"/>
  <c r="AU48" i="23" l="1"/>
  <c r="AU49" i="23" s="1"/>
  <c r="AV38" i="23"/>
  <c r="AW33" i="23"/>
  <c r="AV48" i="23" l="1"/>
  <c r="AV49" i="23" s="1"/>
  <c r="AW38" i="23"/>
  <c r="AX33" i="23"/>
  <c r="AW48" i="23" l="1"/>
  <c r="AW49" i="23" s="1"/>
  <c r="AX38" i="23"/>
  <c r="AY33" i="23"/>
  <c r="AX48" i="23" l="1"/>
  <c r="AX49" i="23" s="1"/>
  <c r="AZ33" i="23"/>
  <c r="AY38" i="23"/>
  <c r="AY48" i="23" l="1"/>
  <c r="AY49" i="23" s="1"/>
  <c r="BA33" i="23"/>
  <c r="AZ38" i="23"/>
  <c r="AZ48" i="23" l="1"/>
  <c r="AZ49" i="23" s="1"/>
  <c r="BA38" i="23"/>
  <c r="BB33" i="23"/>
  <c r="BA48" i="23" l="1"/>
  <c r="BA49" i="23" s="1"/>
  <c r="BB38" i="23"/>
  <c r="BC33" i="23"/>
  <c r="BB48" i="23" l="1"/>
  <c r="BB49" i="23" s="1"/>
  <c r="BC38" i="23"/>
  <c r="BD33" i="23"/>
  <c r="BC48" i="23" l="1"/>
  <c r="BC49" i="23" s="1"/>
  <c r="BD38" i="23"/>
  <c r="BE33" i="23"/>
  <c r="BD48" i="23" l="1"/>
  <c r="BD49" i="23" s="1"/>
  <c r="BE38" i="23"/>
  <c r="BF33" i="23"/>
  <c r="BE48" i="23" l="1"/>
  <c r="BE49" i="23" s="1"/>
  <c r="BF38" i="23"/>
  <c r="BG33" i="23"/>
  <c r="BF48" i="23" l="1"/>
  <c r="BF49" i="23" s="1"/>
  <c r="BG38" i="23"/>
  <c r="BH33" i="23"/>
  <c r="BG48" i="23" l="1"/>
  <c r="BG49" i="23" s="1"/>
  <c r="BH38" i="23"/>
  <c r="BI33" i="23"/>
  <c r="BH48" i="23" l="1"/>
  <c r="BH49" i="23" s="1"/>
  <c r="BI38" i="23"/>
  <c r="BJ33" i="23"/>
  <c r="BI48" i="23" l="1"/>
  <c r="BI49" i="23" s="1"/>
  <c r="BJ38" i="23"/>
  <c r="BK33" i="23"/>
  <c r="BJ48" i="23" l="1"/>
  <c r="BJ49" i="23" s="1"/>
  <c r="BL33" i="23"/>
  <c r="BK38" i="23"/>
  <c r="BK48" i="23" l="1"/>
  <c r="BK49" i="23" s="1"/>
  <c r="BM33" i="23"/>
  <c r="BL38" i="23"/>
  <c r="BL48" i="23" l="1"/>
  <c r="BL49" i="23" s="1"/>
  <c r="BM38" i="23"/>
  <c r="BN33" i="23"/>
  <c r="BM48" i="23" l="1"/>
  <c r="BM49" i="23" s="1"/>
  <c r="BN38" i="23"/>
  <c r="BN48" i="23" s="1"/>
  <c r="E33" i="23"/>
  <c r="E58" i="23" l="1"/>
  <c r="E56" i="23"/>
  <c r="E55" i="23"/>
  <c r="E38" i="23"/>
  <c r="E51" i="23" s="1"/>
  <c r="BN49" i="23" l="1"/>
  <c r="E52" i="23" s="1"/>
  <c r="E48" i="23"/>
  <c r="I10" i="14" l="1"/>
  <c r="H10" i="14"/>
  <c r="I9" i="14"/>
  <c r="H9" i="14"/>
  <c r="J9" i="21"/>
  <c r="J8" i="21"/>
  <c r="J7" i="21"/>
  <c r="N7" i="21" s="1"/>
  <c r="K7" i="21"/>
  <c r="I7" i="21" s="1"/>
  <c r="K8" i="21"/>
  <c r="I8" i="21" s="1"/>
  <c r="B16" i="21"/>
  <c r="D14" i="21" s="1"/>
  <c r="E14" i="21" s="1"/>
  <c r="F14" i="21" s="1"/>
  <c r="K9" i="21"/>
  <c r="I9" i="21" s="1"/>
  <c r="B20" i="20"/>
  <c r="I14" i="20"/>
  <c r="B14" i="20"/>
  <c r="J13" i="20"/>
  <c r="K13" i="20" s="1"/>
  <c r="L13" i="20" s="1"/>
  <c r="J12" i="20"/>
  <c r="F20" i="20"/>
  <c r="I8" i="20"/>
  <c r="B8" i="20"/>
  <c r="J7" i="20"/>
  <c r="K7" i="20" s="1"/>
  <c r="L7" i="20" s="1"/>
  <c r="J6" i="20"/>
  <c r="K6" i="20" s="1"/>
  <c r="L8" i="21" l="1"/>
  <c r="L7" i="21"/>
  <c r="N8" i="21"/>
  <c r="L9" i="21"/>
  <c r="N9" i="21"/>
  <c r="E20" i="21" s="1"/>
  <c r="F20" i="21" s="1"/>
  <c r="D29" i="21" s="1"/>
  <c r="D36" i="21"/>
  <c r="D15" i="21"/>
  <c r="E15" i="21" s="1"/>
  <c r="F15" i="21" s="1"/>
  <c r="G15" i="21" s="1"/>
  <c r="J14" i="20"/>
  <c r="K12" i="20"/>
  <c r="L12" i="20" s="1"/>
  <c r="J8" i="20"/>
  <c r="K8" i="20"/>
  <c r="L8" i="20" s="1"/>
  <c r="L6" i="20"/>
  <c r="E21" i="21" l="1"/>
  <c r="F21" i="21" s="1"/>
  <c r="C21" i="21" s="1"/>
  <c r="E16" i="21"/>
  <c r="G14" i="21"/>
  <c r="G16" i="21" s="1"/>
  <c r="F16" i="21"/>
  <c r="K14" i="20"/>
  <c r="L14" i="20" s="1"/>
  <c r="E32" i="14" l="1"/>
  <c r="C32" i="14"/>
  <c r="BN31" i="14"/>
  <c r="BM31" i="14"/>
  <c r="BL31" i="14"/>
  <c r="BK31" i="14"/>
  <c r="BJ31" i="14"/>
  <c r="BI31" i="14"/>
  <c r="BH31" i="14"/>
  <c r="BG31" i="14"/>
  <c r="BF31" i="14"/>
  <c r="BE31" i="14"/>
  <c r="BD31" i="14"/>
  <c r="BC31" i="14"/>
  <c r="BB31" i="14"/>
  <c r="BA31" i="14"/>
  <c r="AZ31" i="14"/>
  <c r="AY31" i="14"/>
  <c r="AX31" i="14"/>
  <c r="AW31" i="14"/>
  <c r="AV31" i="14"/>
  <c r="AU31" i="14"/>
  <c r="AT31" i="14"/>
  <c r="AS31" i="14"/>
  <c r="AR31" i="14"/>
  <c r="AQ31" i="14"/>
  <c r="AP31" i="14"/>
  <c r="AO31" i="14"/>
  <c r="AN31" i="14"/>
  <c r="AM31" i="14"/>
  <c r="AL31" i="14"/>
  <c r="AK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C31" i="14"/>
  <c r="E31" i="14" s="1"/>
  <c r="BN25" i="14"/>
  <c r="BM25" i="14"/>
  <c r="BL25" i="14"/>
  <c r="BK25" i="14"/>
  <c r="BJ25" i="14"/>
  <c r="BI25" i="14"/>
  <c r="BH25" i="14"/>
  <c r="BG25" i="14"/>
  <c r="BF25" i="14"/>
  <c r="BF32" i="14" s="1"/>
  <c r="BE25" i="14"/>
  <c r="BD25" i="14"/>
  <c r="BD32" i="14" s="1"/>
  <c r="BC25" i="14"/>
  <c r="BB25" i="14"/>
  <c r="BA25" i="14"/>
  <c r="AZ25" i="14"/>
  <c r="AY25" i="14"/>
  <c r="AX25" i="14"/>
  <c r="AW25" i="14"/>
  <c r="AV25" i="14"/>
  <c r="AU25" i="14"/>
  <c r="AT25" i="14"/>
  <c r="AT32" i="14" s="1"/>
  <c r="AS25" i="14"/>
  <c r="AR25" i="14"/>
  <c r="AR32" i="14" s="1"/>
  <c r="AQ25" i="14"/>
  <c r="AP25" i="14"/>
  <c r="AO25" i="14"/>
  <c r="AN25" i="14"/>
  <c r="AM25" i="14"/>
  <c r="AL25" i="14"/>
  <c r="AK25" i="14"/>
  <c r="AI25" i="14"/>
  <c r="AH25" i="14"/>
  <c r="AG25" i="14"/>
  <c r="AG32" i="14" s="1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U32" i="14" s="1"/>
  <c r="T25" i="14"/>
  <c r="S25" i="14"/>
  <c r="R25" i="14"/>
  <c r="Q25" i="14"/>
  <c r="P25" i="14"/>
  <c r="O25" i="14"/>
  <c r="N25" i="14"/>
  <c r="M25" i="14"/>
  <c r="L25" i="14"/>
  <c r="K25" i="14"/>
  <c r="J25" i="14"/>
  <c r="I25" i="14"/>
  <c r="I32" i="14" s="1"/>
  <c r="H25" i="14"/>
  <c r="G25" i="14"/>
  <c r="F25" i="14"/>
  <c r="AK24" i="14"/>
  <c r="AL24" i="14" s="1"/>
  <c r="F24" i="14"/>
  <c r="AH32" i="14" l="1"/>
  <c r="J32" i="14"/>
  <c r="M32" i="14"/>
  <c r="V32" i="14"/>
  <c r="AM32" i="14"/>
  <c r="Z32" i="14"/>
  <c r="BG32" i="14"/>
  <c r="BH32" i="14"/>
  <c r="Y32" i="14"/>
  <c r="AL32" i="14"/>
  <c r="AX32" i="14"/>
  <c r="BJ32" i="14"/>
  <c r="N32" i="14"/>
  <c r="AQ32" i="14"/>
  <c r="BC32" i="14"/>
  <c r="D31" i="14"/>
  <c r="H32" i="14"/>
  <c r="T32" i="14"/>
  <c r="AF32" i="14"/>
  <c r="O32" i="14"/>
  <c r="AU32" i="14"/>
  <c r="K32" i="14"/>
  <c r="W32" i="14"/>
  <c r="AI32" i="14"/>
  <c r="L32" i="14"/>
  <c r="X32" i="14"/>
  <c r="AK32" i="14"/>
  <c r="AW32" i="14"/>
  <c r="BI32" i="14"/>
  <c r="AM24" i="14"/>
  <c r="G32" i="14"/>
  <c r="AE32" i="14"/>
  <c r="F32" i="14"/>
  <c r="S32" i="14"/>
  <c r="AA32" i="14"/>
  <c r="AY32" i="14"/>
  <c r="AZ32" i="14"/>
  <c r="AO32" i="14"/>
  <c r="BK32" i="14"/>
  <c r="P32" i="14"/>
  <c r="BL32" i="14"/>
  <c r="AC32" i="14"/>
  <c r="BN32" i="14"/>
  <c r="AB32" i="14"/>
  <c r="BA32" i="14"/>
  <c r="BB32" i="14"/>
  <c r="AS32" i="14"/>
  <c r="BE32" i="14"/>
  <c r="G24" i="14"/>
  <c r="R32" i="14"/>
  <c r="AP32" i="14"/>
  <c r="AJ32" i="14"/>
  <c r="AJ34" i="14" s="1"/>
  <c r="AN32" i="14"/>
  <c r="Q32" i="14"/>
  <c r="BM32" i="14"/>
  <c r="AD32" i="14"/>
  <c r="AV32" i="14"/>
  <c r="AN24" i="14" l="1"/>
  <c r="H24" i="14"/>
  <c r="D32" i="14"/>
  <c r="AO24" i="14" l="1"/>
  <c r="I24" i="14"/>
  <c r="AP24" i="14" l="1"/>
  <c r="J24" i="14"/>
  <c r="AQ24" i="14" l="1"/>
  <c r="K24" i="14"/>
  <c r="AR24" i="14" l="1"/>
  <c r="L24" i="14"/>
  <c r="AS24" i="14" l="1"/>
  <c r="M24" i="14"/>
  <c r="N24" i="14" l="1"/>
  <c r="AT24" i="14"/>
  <c r="AU24" i="14" l="1"/>
  <c r="O24" i="14"/>
  <c r="P24" i="14" l="1"/>
  <c r="AV24" i="14"/>
  <c r="AW24" i="14" l="1"/>
  <c r="Q24" i="14"/>
  <c r="R24" i="14" l="1"/>
  <c r="AX24" i="14"/>
  <c r="AY24" i="14" l="1"/>
  <c r="S24" i="14"/>
  <c r="AZ24" i="14" l="1"/>
  <c r="T24" i="14"/>
  <c r="U24" i="14" l="1"/>
  <c r="BA24" i="14"/>
  <c r="BB24" i="14" l="1"/>
  <c r="V24" i="14"/>
  <c r="W24" i="14" l="1"/>
  <c r="BC24" i="14"/>
  <c r="BD24" i="14" l="1"/>
  <c r="X24" i="14"/>
  <c r="Y24" i="14" l="1"/>
  <c r="BE24" i="14"/>
  <c r="BF24" i="14" l="1"/>
  <c r="Z24" i="14"/>
  <c r="AA24" i="14" l="1"/>
  <c r="BG24" i="14"/>
  <c r="BH24" i="14" l="1"/>
  <c r="AB24" i="14"/>
  <c r="AC24" i="14" l="1"/>
  <c r="BI24" i="14"/>
  <c r="BJ24" i="14" l="1"/>
  <c r="AD24" i="14"/>
  <c r="AE24" i="14" l="1"/>
  <c r="BK24" i="14"/>
  <c r="BL24" i="14" l="1"/>
  <c r="AF24" i="14"/>
  <c r="AG24" i="14" l="1"/>
  <c r="BM24" i="14"/>
  <c r="BN24" i="14" l="1"/>
  <c r="AH24" i="14"/>
  <c r="AI24" i="14" l="1"/>
  <c r="D24" i="14" s="1"/>
  <c r="D41" i="14" s="1"/>
  <c r="D42" i="14" l="1"/>
  <c r="B15" i="14"/>
  <c r="BG27" i="14" l="1"/>
  <c r="BG29" i="14" s="1"/>
  <c r="BG34" i="14" s="1"/>
  <c r="AU27" i="14"/>
  <c r="AU29" i="14" s="1"/>
  <c r="AU34" i="14" s="1"/>
  <c r="AH27" i="14"/>
  <c r="AH29" i="14" s="1"/>
  <c r="AH34" i="14" s="1"/>
  <c r="V27" i="14"/>
  <c r="V29" i="14" s="1"/>
  <c r="V34" i="14" s="1"/>
  <c r="J27" i="14"/>
  <c r="J29" i="14" s="1"/>
  <c r="J34" i="14" s="1"/>
  <c r="AS27" i="14"/>
  <c r="AS29" i="14" s="1"/>
  <c r="AS34" i="14" s="1"/>
  <c r="T27" i="14"/>
  <c r="T29" i="14" s="1"/>
  <c r="T34" i="14" s="1"/>
  <c r="BN27" i="14"/>
  <c r="BN29" i="14" s="1"/>
  <c r="BN34" i="14" s="1"/>
  <c r="E27" i="14"/>
  <c r="E29" i="14" s="1"/>
  <c r="AA27" i="14"/>
  <c r="AA29" i="14" s="1"/>
  <c r="AA34" i="14" s="1"/>
  <c r="AM27" i="14"/>
  <c r="AM29" i="14" s="1"/>
  <c r="AM34" i="14" s="1"/>
  <c r="AX27" i="14"/>
  <c r="AX29" i="14" s="1"/>
  <c r="AX34" i="14" s="1"/>
  <c r="Y27" i="14"/>
  <c r="Y29" i="14" s="1"/>
  <c r="Y34" i="14" s="1"/>
  <c r="X27" i="14"/>
  <c r="X29" i="14" s="1"/>
  <c r="X34" i="14" s="1"/>
  <c r="BF27" i="14"/>
  <c r="BF29" i="14" s="1"/>
  <c r="BF34" i="14" s="1"/>
  <c r="AT27" i="14"/>
  <c r="AT29" i="14" s="1"/>
  <c r="AT34" i="14" s="1"/>
  <c r="AG27" i="14"/>
  <c r="AG29" i="14" s="1"/>
  <c r="AG34" i="14" s="1"/>
  <c r="U27" i="14"/>
  <c r="U29" i="14" s="1"/>
  <c r="U34" i="14" s="1"/>
  <c r="I27" i="14"/>
  <c r="I29" i="14" s="1"/>
  <c r="I34" i="14" s="1"/>
  <c r="BE27" i="14"/>
  <c r="BE29" i="14" s="1"/>
  <c r="BE34" i="14" s="1"/>
  <c r="H27" i="14"/>
  <c r="H29" i="14" s="1"/>
  <c r="H34" i="14" s="1"/>
  <c r="AY27" i="14"/>
  <c r="AY29" i="14" s="1"/>
  <c r="AY34" i="14" s="1"/>
  <c r="BI27" i="14"/>
  <c r="BI29" i="14" s="1"/>
  <c r="BI34" i="14" s="1"/>
  <c r="AF27" i="14"/>
  <c r="AF29" i="14" s="1"/>
  <c r="AF34" i="14" s="1"/>
  <c r="AZ27" i="14"/>
  <c r="AZ29" i="14" s="1"/>
  <c r="AZ34" i="14" s="1"/>
  <c r="BD27" i="14"/>
  <c r="BD29" i="14" s="1"/>
  <c r="BD34" i="14" s="1"/>
  <c r="AR27" i="14"/>
  <c r="AR29" i="14" s="1"/>
  <c r="AR34" i="14" s="1"/>
  <c r="AE27" i="14"/>
  <c r="AE29" i="14" s="1"/>
  <c r="AE34" i="14" s="1"/>
  <c r="S27" i="14"/>
  <c r="S29" i="14" s="1"/>
  <c r="S34" i="14" s="1"/>
  <c r="G27" i="14"/>
  <c r="G29" i="14" s="1"/>
  <c r="G34" i="14" s="1"/>
  <c r="BB27" i="14"/>
  <c r="BB29" i="14" s="1"/>
  <c r="BB34" i="14" s="1"/>
  <c r="AP27" i="14"/>
  <c r="AP29" i="14" s="1"/>
  <c r="AP34" i="14" s="1"/>
  <c r="AC27" i="14"/>
  <c r="AC29" i="14" s="1"/>
  <c r="AC34" i="14" s="1"/>
  <c r="BK27" i="14"/>
  <c r="BK29" i="14" s="1"/>
  <c r="BK34" i="14" s="1"/>
  <c r="Z27" i="14"/>
  <c r="Z29" i="14" s="1"/>
  <c r="Z34" i="14" s="1"/>
  <c r="AL27" i="14"/>
  <c r="AL29" i="14" s="1"/>
  <c r="AL34" i="14" s="1"/>
  <c r="M27" i="14"/>
  <c r="M29" i="14" s="1"/>
  <c r="M34" i="14" s="1"/>
  <c r="L27" i="14"/>
  <c r="L29" i="14" s="1"/>
  <c r="L34" i="14" s="1"/>
  <c r="BH27" i="14"/>
  <c r="BH29" i="14" s="1"/>
  <c r="BH34" i="14" s="1"/>
  <c r="BC27" i="14"/>
  <c r="BC29" i="14" s="1"/>
  <c r="BC34" i="14" s="1"/>
  <c r="AQ27" i="14"/>
  <c r="AQ29" i="14" s="1"/>
  <c r="AQ34" i="14" s="1"/>
  <c r="AD27" i="14"/>
  <c r="AD29" i="14" s="1"/>
  <c r="AD34" i="14" s="1"/>
  <c r="R27" i="14"/>
  <c r="R29" i="14" s="1"/>
  <c r="R34" i="14" s="1"/>
  <c r="F27" i="14"/>
  <c r="F29" i="14" s="1"/>
  <c r="F34" i="14" s="1"/>
  <c r="Q27" i="14"/>
  <c r="Q29" i="14" s="1"/>
  <c r="Q34" i="14" s="1"/>
  <c r="AW27" i="14"/>
  <c r="AW29" i="14" s="1"/>
  <c r="AW34" i="14" s="1"/>
  <c r="AI27" i="14"/>
  <c r="AI29" i="14" s="1"/>
  <c r="AI34" i="14" s="1"/>
  <c r="N27" i="14"/>
  <c r="N29" i="14" s="1"/>
  <c r="N34" i="14" s="1"/>
  <c r="BJ27" i="14"/>
  <c r="BJ29" i="14" s="1"/>
  <c r="BJ34" i="14" s="1"/>
  <c r="AK27" i="14"/>
  <c r="AK29" i="14" s="1"/>
  <c r="AK34" i="14" s="1"/>
  <c r="AV27" i="14"/>
  <c r="AV29" i="14" s="1"/>
  <c r="AV34" i="14" s="1"/>
  <c r="K27" i="14"/>
  <c r="K29" i="14" s="1"/>
  <c r="K34" i="14" s="1"/>
  <c r="BM27" i="14"/>
  <c r="BM29" i="14" s="1"/>
  <c r="BM34" i="14" s="1"/>
  <c r="BA27" i="14"/>
  <c r="BA29" i="14" s="1"/>
  <c r="BA34" i="14" s="1"/>
  <c r="AO27" i="14"/>
  <c r="AO29" i="14" s="1"/>
  <c r="AO34" i="14" s="1"/>
  <c r="AB27" i="14"/>
  <c r="AB29" i="14" s="1"/>
  <c r="AB34" i="14" s="1"/>
  <c r="P27" i="14"/>
  <c r="P29" i="14" s="1"/>
  <c r="P34" i="14" s="1"/>
  <c r="BL27" i="14"/>
  <c r="BL29" i="14" s="1"/>
  <c r="BL34" i="14" s="1"/>
  <c r="W27" i="14"/>
  <c r="W29" i="14" s="1"/>
  <c r="W34" i="14" s="1"/>
  <c r="AN27" i="14"/>
  <c r="AN29" i="14" s="1"/>
  <c r="AN34" i="14" s="1"/>
  <c r="O27" i="14"/>
  <c r="O29" i="14" s="1"/>
  <c r="O34" i="14" s="1"/>
  <c r="D29" i="14" l="1"/>
  <c r="D37" i="14" s="1"/>
  <c r="E34" i="14"/>
  <c r="E35" i="14" s="1"/>
  <c r="F35" i="14" s="1"/>
  <c r="G35" i="14" s="1"/>
  <c r="H35" i="14" s="1"/>
  <c r="I35" i="14" s="1"/>
  <c r="J35" i="14" s="1"/>
  <c r="K35" i="14" s="1"/>
  <c r="D39" i="14" l="1"/>
  <c r="L35" i="14"/>
  <c r="M35" i="14" s="1"/>
  <c r="N35" i="14" s="1"/>
  <c r="O35" i="14" s="1"/>
  <c r="P35" i="14" s="1"/>
  <c r="Q35" i="14" s="1"/>
  <c r="R35" i="14" s="1"/>
  <c r="S35" i="14" s="1"/>
  <c r="T35" i="14" s="1"/>
  <c r="U35" i="14" s="1"/>
  <c r="V35" i="14" s="1"/>
  <c r="W35" i="14" s="1"/>
  <c r="X35" i="14" s="1"/>
  <c r="Y35" i="14" s="1"/>
  <c r="Z35" i="14" s="1"/>
  <c r="AA35" i="14" s="1"/>
  <c r="AB35" i="14" s="1"/>
  <c r="AC35" i="14" s="1"/>
  <c r="AD35" i="14" s="1"/>
  <c r="AE35" i="14" s="1"/>
  <c r="AF35" i="14" s="1"/>
  <c r="AG35" i="14" s="1"/>
  <c r="AH35" i="14" s="1"/>
  <c r="AI35" i="14" s="1"/>
  <c r="AJ35" i="14" s="1"/>
  <c r="AK35" i="14" s="1"/>
  <c r="AL35" i="14" s="1"/>
  <c r="AM35" i="14" s="1"/>
  <c r="AN35" i="14" s="1"/>
  <c r="AO35" i="14" s="1"/>
  <c r="AP35" i="14" s="1"/>
  <c r="AQ35" i="14" s="1"/>
  <c r="AR35" i="14" s="1"/>
  <c r="AS35" i="14" s="1"/>
  <c r="AT35" i="14" s="1"/>
  <c r="AU35" i="14" s="1"/>
  <c r="AV35" i="14" s="1"/>
  <c r="AW35" i="14" s="1"/>
  <c r="AX35" i="14" s="1"/>
  <c r="AY35" i="14" s="1"/>
  <c r="AZ35" i="14" s="1"/>
  <c r="BA35" i="14" s="1"/>
  <c r="BB35" i="14" s="1"/>
  <c r="BC35" i="14" s="1"/>
  <c r="BD35" i="14" s="1"/>
  <c r="BE35" i="14" s="1"/>
  <c r="BF35" i="14" s="1"/>
  <c r="BG35" i="14" s="1"/>
  <c r="BH35" i="14" s="1"/>
  <c r="BI35" i="14" s="1"/>
  <c r="BJ35" i="14" s="1"/>
  <c r="BK35" i="14" s="1"/>
  <c r="BL35" i="14" s="1"/>
  <c r="BM35" i="14" s="1"/>
  <c r="BN35" i="14" s="1"/>
  <c r="D38" i="14" l="1"/>
  <c r="G22" i="1" l="1"/>
  <c r="F31" i="2" l="1"/>
  <c r="D3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AU30" i="2"/>
  <c r="AV30" i="2"/>
  <c r="AV31" i="2" s="1"/>
  <c r="AW30" i="2"/>
  <c r="AW31" i="2" s="1"/>
  <c r="AX30" i="2"/>
  <c r="AX31" i="2" s="1"/>
  <c r="AY30" i="2"/>
  <c r="AY31" i="2" s="1"/>
  <c r="AZ30" i="2"/>
  <c r="BA30" i="2"/>
  <c r="BB30" i="2"/>
  <c r="BC30" i="2"/>
  <c r="BD30" i="2"/>
  <c r="BE30" i="2"/>
  <c r="BF30" i="2"/>
  <c r="BG30" i="2"/>
  <c r="BG31" i="2" s="1"/>
  <c r="BH30" i="2"/>
  <c r="BH31" i="2" s="1"/>
  <c r="BI30" i="2"/>
  <c r="BI31" i="2" s="1"/>
  <c r="BJ30" i="2"/>
  <c r="BJ31" i="2" s="1"/>
  <c r="BK30" i="2"/>
  <c r="BK31" i="2" s="1"/>
  <c r="BL30" i="2"/>
  <c r="BM30" i="2"/>
  <c r="BN30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AF24" i="1"/>
  <c r="AG24" i="1"/>
  <c r="AH24" i="1"/>
  <c r="AI24" i="1"/>
  <c r="AJ24" i="1"/>
  <c r="AF30" i="1"/>
  <c r="AG30" i="1"/>
  <c r="AH30" i="1"/>
  <c r="AI30" i="1"/>
  <c r="AJ30" i="1"/>
  <c r="D36" i="2"/>
  <c r="D30" i="1"/>
  <c r="D31" i="1"/>
  <c r="AF31" i="1" l="1"/>
  <c r="AV37" i="2"/>
  <c r="AW37" i="2"/>
  <c r="BL37" i="2"/>
  <c r="AZ37" i="2"/>
  <c r="AX37" i="2"/>
  <c r="AU37" i="2"/>
  <c r="AU31" i="2"/>
  <c r="BF37" i="2"/>
  <c r="BF31" i="2"/>
  <c r="BL31" i="2"/>
  <c r="BG37" i="2"/>
  <c r="BK37" i="2"/>
  <c r="BJ37" i="2"/>
  <c r="BE31" i="2"/>
  <c r="BH37" i="2"/>
  <c r="BC37" i="2"/>
  <c r="BC31" i="2"/>
  <c r="BI37" i="2"/>
  <c r="AY37" i="2"/>
  <c r="BN37" i="2"/>
  <c r="BB37" i="2"/>
  <c r="BN31" i="2"/>
  <c r="BB31" i="2"/>
  <c r="AZ31" i="2"/>
  <c r="BD31" i="2"/>
  <c r="BM37" i="2"/>
  <c r="BA37" i="2"/>
  <c r="BM31" i="2"/>
  <c r="BA31" i="2"/>
  <c r="BD37" i="2"/>
  <c r="BE37" i="2"/>
  <c r="AG31" i="1"/>
  <c r="AJ31" i="1"/>
  <c r="AI31" i="1"/>
  <c r="AH31" i="1"/>
  <c r="C20" i="2"/>
  <c r="C21" i="2" s="1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G27" i="2"/>
  <c r="F33" i="2"/>
  <c r="G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F30" i="2"/>
  <c r="AF36" i="2"/>
  <c r="F37" i="2"/>
  <c r="G36" i="2"/>
  <c r="H30" i="2"/>
  <c r="I29" i="2" l="1"/>
  <c r="U29" i="2"/>
  <c r="AG29" i="2"/>
  <c r="AS29" i="2"/>
  <c r="BE29" i="2"/>
  <c r="BG29" i="2"/>
  <c r="L29" i="2"/>
  <c r="AV29" i="2"/>
  <c r="AK29" i="2"/>
  <c r="N29" i="2"/>
  <c r="BJ29" i="2"/>
  <c r="AB29" i="2"/>
  <c r="G29" i="2"/>
  <c r="AR29" i="2"/>
  <c r="J29" i="2"/>
  <c r="V29" i="2"/>
  <c r="AH29" i="2"/>
  <c r="AT29" i="2"/>
  <c r="BF29" i="2"/>
  <c r="AU29" i="2"/>
  <c r="AJ29" i="2"/>
  <c r="BH29" i="2"/>
  <c r="M29" i="2"/>
  <c r="BI29" i="2"/>
  <c r="AL29" i="2"/>
  <c r="AX29" i="2"/>
  <c r="O29" i="2"/>
  <c r="AY29" i="2"/>
  <c r="AN29" i="2"/>
  <c r="AZ29" i="2"/>
  <c r="Q29" i="2"/>
  <c r="AC29" i="2"/>
  <c r="BA29" i="2"/>
  <c r="AD29" i="2"/>
  <c r="AQ29" i="2"/>
  <c r="T29" i="2"/>
  <c r="K29" i="2"/>
  <c r="W29" i="2"/>
  <c r="AI29" i="2"/>
  <c r="X29" i="2"/>
  <c r="Y29" i="2"/>
  <c r="AW29" i="2"/>
  <c r="Z29" i="2"/>
  <c r="AA29" i="2"/>
  <c r="AM29" i="2"/>
  <c r="P29" i="2"/>
  <c r="BL29" i="2"/>
  <c r="AO29" i="2"/>
  <c r="BM29" i="2"/>
  <c r="AP29" i="2"/>
  <c r="AE29" i="2"/>
  <c r="H29" i="2"/>
  <c r="BK29" i="2"/>
  <c r="R29" i="2"/>
  <c r="BB29" i="2"/>
  <c r="BN29" i="2"/>
  <c r="S29" i="2"/>
  <c r="BC29" i="2"/>
  <c r="AF29" i="2"/>
  <c r="BD29" i="2"/>
  <c r="AG31" i="2"/>
  <c r="AR31" i="2"/>
  <c r="G31" i="2"/>
  <c r="AQ31" i="2"/>
  <c r="AT31" i="2"/>
  <c r="AP31" i="2"/>
  <c r="AM31" i="2"/>
  <c r="AJ31" i="2"/>
  <c r="AH31" i="2"/>
  <c r="AO31" i="2"/>
  <c r="AN31" i="2"/>
  <c r="H31" i="2"/>
  <c r="AL31" i="2"/>
  <c r="AF31" i="2"/>
  <c r="AK31" i="2"/>
  <c r="AI31" i="2"/>
  <c r="AS31" i="2"/>
  <c r="G28" i="2"/>
  <c r="G33" i="2" l="1"/>
  <c r="AA24" i="1" l="1"/>
  <c r="AB24" i="1"/>
  <c r="AC24" i="1"/>
  <c r="AD24" i="1"/>
  <c r="AE24" i="1"/>
  <c r="AA30" i="1"/>
  <c r="AB30" i="1"/>
  <c r="AC30" i="1"/>
  <c r="AD30" i="1"/>
  <c r="AE30" i="1"/>
  <c r="AA30" i="2"/>
  <c r="AB30" i="2"/>
  <c r="AC30" i="2"/>
  <c r="AD30" i="2"/>
  <c r="AE30" i="2"/>
  <c r="AA36" i="2"/>
  <c r="AB36" i="2"/>
  <c r="AC36" i="2"/>
  <c r="AD36" i="2"/>
  <c r="AE36" i="2"/>
  <c r="AC31" i="2" l="1"/>
  <c r="AB31" i="2"/>
  <c r="AE31" i="2"/>
  <c r="AD31" i="2"/>
  <c r="AA31" i="2"/>
  <c r="F39" i="2" l="1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24" i="1"/>
  <c r="G24" i="1"/>
  <c r="G31" i="1" s="1"/>
  <c r="R31" i="2" l="1"/>
  <c r="U31" i="2"/>
  <c r="J31" i="2"/>
  <c r="L31" i="2"/>
  <c r="S31" i="2"/>
  <c r="T31" i="2"/>
  <c r="W31" i="2"/>
  <c r="P31" i="2"/>
  <c r="Q31" i="2"/>
  <c r="I31" i="2"/>
  <c r="V31" i="2"/>
  <c r="K31" i="2"/>
  <c r="X31" i="2"/>
  <c r="M31" i="2"/>
  <c r="Y31" i="2"/>
  <c r="N31" i="2"/>
  <c r="Z31" i="2"/>
  <c r="O31" i="2"/>
  <c r="AH37" i="2"/>
  <c r="AI37" i="2"/>
  <c r="AT37" i="2"/>
  <c r="AJ37" i="2"/>
  <c r="AK37" i="2"/>
  <c r="AN37" i="2"/>
  <c r="AP37" i="2"/>
  <c r="AQ37" i="2"/>
  <c r="AL37" i="2"/>
  <c r="AO37" i="2"/>
  <c r="AG37" i="2"/>
  <c r="AM37" i="2"/>
  <c r="AF37" i="2"/>
  <c r="AS37" i="2"/>
  <c r="AR37" i="2"/>
  <c r="H37" i="2"/>
  <c r="F36" i="2"/>
  <c r="I37" i="2"/>
  <c r="U37" i="2"/>
  <c r="AD37" i="2"/>
  <c r="AE37" i="2"/>
  <c r="AC37" i="2"/>
  <c r="AA37" i="2"/>
  <c r="AB37" i="2"/>
  <c r="D39" i="2"/>
  <c r="V37" i="2"/>
  <c r="G37" i="2"/>
  <c r="J37" i="2"/>
  <c r="H28" i="2"/>
  <c r="M37" i="2"/>
  <c r="W37" i="2"/>
  <c r="Z37" i="2"/>
  <c r="N37" i="2"/>
  <c r="Y37" i="2"/>
  <c r="K37" i="2"/>
  <c r="X37" i="2"/>
  <c r="O37" i="2"/>
  <c r="P37" i="2"/>
  <c r="Q37" i="2"/>
  <c r="R37" i="2"/>
  <c r="S37" i="2"/>
  <c r="T37" i="2"/>
  <c r="L37" i="2"/>
  <c r="I30" i="1"/>
  <c r="G30" i="1"/>
  <c r="H22" i="1"/>
  <c r="F30" i="1"/>
  <c r="F31" i="1"/>
  <c r="H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E30" i="1" l="1"/>
  <c r="E36" i="2"/>
  <c r="E37" i="2"/>
  <c r="BK39" i="2"/>
  <c r="AX39" i="2"/>
  <c r="BI39" i="2"/>
  <c r="BL39" i="2"/>
  <c r="AV39" i="2"/>
  <c r="AW39" i="2"/>
  <c r="AZ39" i="2"/>
  <c r="AY39" i="2"/>
  <c r="BH39" i="2"/>
  <c r="BJ39" i="2"/>
  <c r="BN39" i="2"/>
  <c r="AU39" i="2"/>
  <c r="BB39" i="2"/>
  <c r="BD39" i="2"/>
  <c r="BG39" i="2"/>
  <c r="BM39" i="2"/>
  <c r="BA39" i="2"/>
  <c r="BF39" i="2"/>
  <c r="BE39" i="2"/>
  <c r="BC39" i="2"/>
  <c r="F42" i="2"/>
  <c r="F43" i="2" s="1"/>
  <c r="AH39" i="2"/>
  <c r="AK39" i="2"/>
  <c r="AL39" i="2"/>
  <c r="AQ39" i="2"/>
  <c r="AN39" i="2"/>
  <c r="AT39" i="2"/>
  <c r="AO39" i="2"/>
  <c r="AP39" i="2"/>
  <c r="AS39" i="2"/>
  <c r="AI39" i="2"/>
  <c r="AR39" i="2"/>
  <c r="AG39" i="2"/>
  <c r="AM39" i="2"/>
  <c r="AJ39" i="2"/>
  <c r="AF39" i="2"/>
  <c r="I28" i="2"/>
  <c r="H33" i="2"/>
  <c r="M39" i="2"/>
  <c r="H39" i="2"/>
  <c r="L39" i="2"/>
  <c r="Y39" i="2"/>
  <c r="I39" i="2"/>
  <c r="X39" i="2"/>
  <c r="U39" i="2"/>
  <c r="O39" i="2"/>
  <c r="S39" i="2"/>
  <c r="Z39" i="2"/>
  <c r="G39" i="2"/>
  <c r="AC31" i="1"/>
  <c r="AD31" i="1"/>
  <c r="AB31" i="1"/>
  <c r="AE31" i="1"/>
  <c r="AA31" i="1"/>
  <c r="U31" i="1"/>
  <c r="AA39" i="2"/>
  <c r="AB39" i="2"/>
  <c r="AC39" i="2"/>
  <c r="AD39" i="2"/>
  <c r="AE39" i="2"/>
  <c r="W39" i="2"/>
  <c r="R39" i="2"/>
  <c r="K39" i="2"/>
  <c r="Q39" i="2"/>
  <c r="V39" i="2"/>
  <c r="P39" i="2"/>
  <c r="J39" i="2"/>
  <c r="N39" i="2"/>
  <c r="T39" i="2"/>
  <c r="R31" i="1"/>
  <c r="V31" i="1"/>
  <c r="T31" i="1"/>
  <c r="P31" i="1"/>
  <c r="J31" i="1"/>
  <c r="Z31" i="1"/>
  <c r="I31" i="1"/>
  <c r="N31" i="1"/>
  <c r="K31" i="1"/>
  <c r="Y31" i="1"/>
  <c r="H31" i="1"/>
  <c r="W31" i="1"/>
  <c r="L31" i="1"/>
  <c r="S31" i="1"/>
  <c r="Q31" i="1"/>
  <c r="O31" i="1"/>
  <c r="M31" i="1"/>
  <c r="X31" i="1"/>
  <c r="I22" i="1"/>
  <c r="E31" i="1" l="1"/>
  <c r="G42" i="2"/>
  <c r="H42" i="2"/>
  <c r="J28" i="2"/>
  <c r="I33" i="2"/>
  <c r="J22" i="1"/>
  <c r="G43" i="2" l="1"/>
  <c r="H43" i="2" s="1"/>
  <c r="I42" i="2"/>
  <c r="K28" i="2"/>
  <c r="J33" i="2"/>
  <c r="K22" i="1"/>
  <c r="I43" i="2" l="1"/>
  <c r="J42" i="2"/>
  <c r="L28" i="2"/>
  <c r="K33" i="2"/>
  <c r="L22" i="1"/>
  <c r="J43" i="2" l="1"/>
  <c r="K42" i="2"/>
  <c r="M28" i="2"/>
  <c r="L33" i="2"/>
  <c r="M22" i="1"/>
  <c r="K43" i="2" l="1"/>
  <c r="L42" i="2"/>
  <c r="N28" i="2"/>
  <c r="M33" i="2"/>
  <c r="N22" i="1"/>
  <c r="L43" i="2" l="1"/>
  <c r="M42" i="2"/>
  <c r="O28" i="2"/>
  <c r="N33" i="2"/>
  <c r="O22" i="1"/>
  <c r="M43" i="2" l="1"/>
  <c r="N42" i="2"/>
  <c r="P28" i="2"/>
  <c r="O33" i="2"/>
  <c r="P22" i="1"/>
  <c r="N43" i="2" l="1"/>
  <c r="O42" i="2"/>
  <c r="Q28" i="2"/>
  <c r="P33" i="2"/>
  <c r="E29" i="2" s="1"/>
  <c r="Q22" i="1"/>
  <c r="O43" i="2" l="1"/>
  <c r="P42" i="2"/>
  <c r="R28" i="2"/>
  <c r="Q33" i="2"/>
  <c r="R22" i="1"/>
  <c r="P43" i="2" l="1"/>
  <c r="E39" i="2" s="1"/>
  <c r="E40" i="2" s="1"/>
  <c r="Q42" i="2"/>
  <c r="S28" i="2"/>
  <c r="R33" i="2"/>
  <c r="S22" i="1"/>
  <c r="Q43" i="2" l="1"/>
  <c r="R42" i="2"/>
  <c r="T28" i="2"/>
  <c r="S33" i="2"/>
  <c r="T22" i="1"/>
  <c r="E47" i="2" l="1"/>
  <c r="R43" i="2"/>
  <c r="S42" i="2"/>
  <c r="U28" i="2"/>
  <c r="T33" i="2"/>
  <c r="U22" i="1"/>
  <c r="S43" i="2" l="1"/>
  <c r="T42" i="2"/>
  <c r="V28" i="2"/>
  <c r="U33" i="2"/>
  <c r="V22" i="1"/>
  <c r="T43" i="2" l="1"/>
  <c r="U42" i="2"/>
  <c r="W28" i="2"/>
  <c r="V33" i="2"/>
  <c r="W22" i="1"/>
  <c r="U43" i="2" l="1"/>
  <c r="V42" i="2"/>
  <c r="X28" i="2"/>
  <c r="W33" i="2"/>
  <c r="X22" i="1"/>
  <c r="V43" i="2" l="1"/>
  <c r="W42" i="2"/>
  <c r="Y28" i="2"/>
  <c r="X33" i="2"/>
  <c r="Y22" i="1"/>
  <c r="W43" i="2" l="1"/>
  <c r="X42" i="2"/>
  <c r="Z28" i="2"/>
  <c r="Y33" i="2"/>
  <c r="Z22" i="1"/>
  <c r="X43" i="2" l="1"/>
  <c r="Y42" i="2"/>
  <c r="AA28" i="2"/>
  <c r="Z33" i="2"/>
  <c r="AA22" i="1"/>
  <c r="Y43" i="2" l="1"/>
  <c r="Z42" i="2"/>
  <c r="AB28" i="2"/>
  <c r="AA33" i="2"/>
  <c r="AB22" i="1"/>
  <c r="Z43" i="2" l="1"/>
  <c r="AA42" i="2"/>
  <c r="AC28" i="2"/>
  <c r="AB33" i="2"/>
  <c r="AC22" i="1"/>
  <c r="AA43" i="2" l="1"/>
  <c r="AB42" i="2"/>
  <c r="AD28" i="2"/>
  <c r="AC33" i="2"/>
  <c r="AD22" i="1"/>
  <c r="AB43" i="2" l="1"/>
  <c r="AC42" i="2"/>
  <c r="AE28" i="2"/>
  <c r="AF28" i="2" s="1"/>
  <c r="AD33" i="2"/>
  <c r="AE22" i="1"/>
  <c r="AF22" i="1" s="1"/>
  <c r="AG22" i="1" s="1"/>
  <c r="AH22" i="1" s="1"/>
  <c r="AI22" i="1" s="1"/>
  <c r="AJ22" i="1" s="1"/>
  <c r="E22" i="1" s="1"/>
  <c r="AC43" i="2" l="1"/>
  <c r="AD42" i="2"/>
  <c r="AF33" i="2"/>
  <c r="AG28" i="2"/>
  <c r="AE33" i="2"/>
  <c r="E40" i="1"/>
  <c r="C13" i="1" s="1"/>
  <c r="AD43" i="2" l="1"/>
  <c r="E41" i="1"/>
  <c r="AE42" i="2"/>
  <c r="AF42" i="2"/>
  <c r="AG33" i="2"/>
  <c r="AH28" i="2"/>
  <c r="AE43" i="2" l="1"/>
  <c r="AF43" i="2" s="1"/>
  <c r="O26" i="1"/>
  <c r="O28" i="1" s="1"/>
  <c r="O33" i="1" s="1"/>
  <c r="N26" i="1"/>
  <c r="N28" i="1" s="1"/>
  <c r="N33" i="1" s="1"/>
  <c r="F26" i="1"/>
  <c r="F28" i="1" s="1"/>
  <c r="U26" i="1"/>
  <c r="U28" i="1" s="1"/>
  <c r="U33" i="1" s="1"/>
  <c r="G26" i="1"/>
  <c r="G28" i="1" s="1"/>
  <c r="V26" i="1"/>
  <c r="V28" i="1" s="1"/>
  <c r="V33" i="1" s="1"/>
  <c r="X26" i="1"/>
  <c r="X28" i="1" s="1"/>
  <c r="X33" i="1" s="1"/>
  <c r="Y26" i="1"/>
  <c r="Y28" i="1" s="1"/>
  <c r="Y33" i="1" s="1"/>
  <c r="J26" i="1"/>
  <c r="J28" i="1" s="1"/>
  <c r="J33" i="1" s="1"/>
  <c r="AH26" i="1"/>
  <c r="AH28" i="1" s="1"/>
  <c r="AH33" i="1" s="1"/>
  <c r="W26" i="1"/>
  <c r="W28" i="1" s="1"/>
  <c r="W33" i="1" s="1"/>
  <c r="Z26" i="1"/>
  <c r="Z28" i="1" s="1"/>
  <c r="Z33" i="1" s="1"/>
  <c r="I26" i="1"/>
  <c r="I28" i="1" s="1"/>
  <c r="I33" i="1" s="1"/>
  <c r="AE26" i="1"/>
  <c r="AE28" i="1" s="1"/>
  <c r="AE33" i="1" s="1"/>
  <c r="AG26" i="1"/>
  <c r="AG28" i="1" s="1"/>
  <c r="AG33" i="1" s="1"/>
  <c r="K26" i="1"/>
  <c r="K28" i="1" s="1"/>
  <c r="K33" i="1" s="1"/>
  <c r="L26" i="1"/>
  <c r="L28" i="1" s="1"/>
  <c r="L33" i="1" s="1"/>
  <c r="AI26" i="1"/>
  <c r="AI28" i="1" s="1"/>
  <c r="AI33" i="1" s="1"/>
  <c r="M26" i="1"/>
  <c r="M28" i="1" s="1"/>
  <c r="M33" i="1" s="1"/>
  <c r="AJ26" i="1"/>
  <c r="AJ28" i="1" s="1"/>
  <c r="AJ33" i="1" s="1"/>
  <c r="AF26" i="1"/>
  <c r="AF28" i="1" s="1"/>
  <c r="AF33" i="1" s="1"/>
  <c r="T26" i="1"/>
  <c r="T28" i="1" s="1"/>
  <c r="T33" i="1" s="1"/>
  <c r="AC26" i="1"/>
  <c r="AC28" i="1" s="1"/>
  <c r="AC33" i="1" s="1"/>
  <c r="H26" i="1"/>
  <c r="H28" i="1" s="1"/>
  <c r="H33" i="1" s="1"/>
  <c r="AD26" i="1"/>
  <c r="AD28" i="1" s="1"/>
  <c r="AD33" i="1" s="1"/>
  <c r="S26" i="1"/>
  <c r="S28" i="1" s="1"/>
  <c r="S33" i="1" s="1"/>
  <c r="R26" i="1"/>
  <c r="R28" i="1" s="1"/>
  <c r="R33" i="1" s="1"/>
  <c r="Q26" i="1"/>
  <c r="Q28" i="1" s="1"/>
  <c r="Q33" i="1" s="1"/>
  <c r="AB26" i="1"/>
  <c r="AB28" i="1" s="1"/>
  <c r="AB33" i="1" s="1"/>
  <c r="AA26" i="1"/>
  <c r="AA28" i="1" s="1"/>
  <c r="AA33" i="1" s="1"/>
  <c r="P26" i="1"/>
  <c r="P28" i="1" s="1"/>
  <c r="P33" i="1" s="1"/>
  <c r="AG42" i="2"/>
  <c r="AI28" i="2"/>
  <c r="AH33" i="2"/>
  <c r="E28" i="1" l="1"/>
  <c r="E36" i="1" s="1"/>
  <c r="AG43" i="2"/>
  <c r="AH42" i="2"/>
  <c r="AJ28" i="2"/>
  <c r="AI33" i="2"/>
  <c r="F33" i="1"/>
  <c r="F34" i="1" s="1"/>
  <c r="G33" i="1"/>
  <c r="AH43" i="2" l="1"/>
  <c r="AI42" i="2"/>
  <c r="AK28" i="2"/>
  <c r="AJ33" i="2"/>
  <c r="G34" i="1"/>
  <c r="H34" i="1" s="1"/>
  <c r="I34" i="1" s="1"/>
  <c r="J34" i="1" s="1"/>
  <c r="K34" i="1" s="1"/>
  <c r="L34" i="1" s="1"/>
  <c r="M34" i="1" s="1"/>
  <c r="N34" i="1" s="1"/>
  <c r="O34" i="1" s="1"/>
  <c r="P34" i="1" s="1"/>
  <c r="Q34" i="1" l="1"/>
  <c r="R34" i="1" s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AD34" i="1" s="1"/>
  <c r="AE34" i="1" s="1"/>
  <c r="AF34" i="1" s="1"/>
  <c r="AG34" i="1" s="1"/>
  <c r="AH34" i="1" s="1"/>
  <c r="AI34" i="1" s="1"/>
  <c r="AJ34" i="1" s="1"/>
  <c r="E38" i="1"/>
  <c r="AI43" i="2"/>
  <c r="AJ42" i="2"/>
  <c r="AL28" i="2"/>
  <c r="AK33" i="2"/>
  <c r="E37" i="1" l="1"/>
  <c r="AJ43" i="2"/>
  <c r="AK42" i="2"/>
  <c r="AM28" i="2"/>
  <c r="AL33" i="2"/>
  <c r="AK43" i="2" l="1"/>
  <c r="AL42" i="2"/>
  <c r="AN28" i="2"/>
  <c r="AM33" i="2"/>
  <c r="AL43" i="2" l="1"/>
  <c r="AM42" i="2"/>
  <c r="AO28" i="2"/>
  <c r="AN33" i="2"/>
  <c r="AM43" i="2" l="1"/>
  <c r="AN42" i="2"/>
  <c r="AP28" i="2"/>
  <c r="AO33" i="2"/>
  <c r="AN43" i="2" l="1"/>
  <c r="AO42" i="2"/>
  <c r="AP33" i="2"/>
  <c r="AQ28" i="2"/>
  <c r="AO43" i="2" l="1"/>
  <c r="AP42" i="2"/>
  <c r="AQ33" i="2"/>
  <c r="AR28" i="2"/>
  <c r="AP43" i="2" l="1"/>
  <c r="AQ42" i="2"/>
  <c r="AS28" i="2"/>
  <c r="AR33" i="2"/>
  <c r="AQ43" i="2" l="1"/>
  <c r="AR42" i="2"/>
  <c r="AS33" i="2"/>
  <c r="AT28" i="2"/>
  <c r="AU28" i="2" s="1"/>
  <c r="AU33" i="2" l="1"/>
  <c r="AV28" i="2"/>
  <c r="AR43" i="2"/>
  <c r="AS42" i="2"/>
  <c r="AT33" i="2"/>
  <c r="AW28" i="2" l="1"/>
  <c r="AV33" i="2"/>
  <c r="AU42" i="2"/>
  <c r="AT42" i="2"/>
  <c r="AS43" i="2"/>
  <c r="AT43" i="2" l="1"/>
  <c r="AU43" i="2" s="1"/>
  <c r="AV42" i="2"/>
  <c r="AX28" i="2"/>
  <c r="AW33" i="2"/>
  <c r="AV43" i="2" l="1"/>
  <c r="AW42" i="2"/>
  <c r="AY28" i="2"/>
  <c r="AX33" i="2"/>
  <c r="AW43" i="2" l="1"/>
  <c r="AX42" i="2"/>
  <c r="AZ28" i="2"/>
  <c r="AY33" i="2"/>
  <c r="AX43" i="2" l="1"/>
  <c r="AY42" i="2"/>
  <c r="AZ33" i="2"/>
  <c r="BA28" i="2"/>
  <c r="AY43" i="2" l="1"/>
  <c r="BA33" i="2"/>
  <c r="BB28" i="2"/>
  <c r="AZ42" i="2"/>
  <c r="AZ43" i="2" l="1"/>
  <c r="BC28" i="2"/>
  <c r="BB33" i="2"/>
  <c r="BA42" i="2"/>
  <c r="BA43" i="2" l="1"/>
  <c r="BB42" i="2"/>
  <c r="BC33" i="2"/>
  <c r="BD28" i="2"/>
  <c r="BB43" i="2" l="1"/>
  <c r="BD33" i="2"/>
  <c r="BE28" i="2"/>
  <c r="BC42" i="2"/>
  <c r="BC43" i="2" l="1"/>
  <c r="BD42" i="2"/>
  <c r="BE33" i="2"/>
  <c r="BF28" i="2"/>
  <c r="BD43" i="2" l="1"/>
  <c r="BF33" i="2"/>
  <c r="BG28" i="2"/>
  <c r="BE42" i="2"/>
  <c r="BE43" i="2" l="1"/>
  <c r="BG33" i="2"/>
  <c r="BH28" i="2"/>
  <c r="BF42" i="2"/>
  <c r="BF43" i="2" l="1"/>
  <c r="BI28" i="2"/>
  <c r="BH33" i="2"/>
  <c r="BG42" i="2"/>
  <c r="BG43" i="2" l="1"/>
  <c r="BH42" i="2"/>
  <c r="BJ28" i="2"/>
  <c r="BI33" i="2"/>
  <c r="BH43" i="2" l="1"/>
  <c r="BI42" i="2"/>
  <c r="BJ33" i="2"/>
  <c r="BK28" i="2"/>
  <c r="BI43" i="2" l="1"/>
  <c r="BL28" i="2"/>
  <c r="BK33" i="2"/>
  <c r="BJ42" i="2"/>
  <c r="BJ43" i="2" l="1"/>
  <c r="BK42" i="2"/>
  <c r="BM28" i="2"/>
  <c r="BL33" i="2"/>
  <c r="BK43" i="2" l="1"/>
  <c r="BL42" i="2"/>
  <c r="BM33" i="2"/>
  <c r="BN28" i="2"/>
  <c r="BL43" i="2" l="1"/>
  <c r="BN33" i="2"/>
  <c r="E28" i="2"/>
  <c r="BM42" i="2"/>
  <c r="BM43" i="2" l="1"/>
  <c r="E50" i="2"/>
  <c r="E49" i="2"/>
  <c r="E52" i="2"/>
  <c r="BN42" i="2"/>
  <c r="E42" i="2" s="1"/>
  <c r="E33" i="2"/>
  <c r="E45" i="2" s="1"/>
  <c r="BN43" i="2" l="1"/>
  <c r="E46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Kerry Pep</author>
  </authors>
  <commentList>
    <comment ref="B7" authorId="0" shapeId="0" xr:uid="{35783A11-B691-4521-9C32-4DCD05EAE862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typical range of effiency 85% - 92%</t>
        </r>
      </text>
    </comment>
    <comment ref="K7" authorId="0" shapeId="0" xr:uid="{043E8815-C84A-4B84-93C5-735D2EE2B1E4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NREL on PSH formula on Velocity was use to calculate the velocity (ft/s) (V=0.0074*Head+16.512)</t>
        </r>
      </text>
    </comment>
    <comment ref="L7" authorId="0" shapeId="0" xr:uid="{51714F05-75BB-4D20-B947-E7DFBEE31C84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NREL on PSH formula on Diameter was use to calculate the Diameter D=Sqrt(4*Q/V*pi)</t>
        </r>
      </text>
    </comment>
    <comment ref="B8" authorId="0" shapeId="0" xr:uid="{C852ACD2-B1F3-4C72-B6AC-DC971589EB00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typical range of effiency 85% - 92%</t>
        </r>
      </text>
    </comment>
    <comment ref="K8" authorId="0" shapeId="0" xr:uid="{DAC85788-4E25-48EB-8DF8-CDAFFA81BFED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NREL on PSH formula on Velocity was use to calculate the velocity (ft/s) (V=0.0074*Head+16.512)</t>
        </r>
      </text>
    </comment>
    <comment ref="L8" authorId="0" shapeId="0" xr:uid="{458590A6-91FB-4240-B4A6-8518E5EBD320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Diameter was use to calculate the Diameter D=Sqrt(4*Q/V*pi)</t>
        </r>
      </text>
    </comment>
    <comment ref="B9" authorId="0" shapeId="0" xr:uid="{CDFEC496-27C1-481A-97C1-B44DE90C79C9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typical range of effiency 85% - 92%</t>
        </r>
      </text>
    </comment>
    <comment ref="K9" authorId="0" shapeId="0" xr:uid="{264626FC-0E5A-4615-A5EA-E9F06589EB4E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NREL on PSH formula on Velocity was use to calculate the velocity (ft/s) (V=0.0074*Head+16.512)</t>
        </r>
      </text>
    </comment>
    <comment ref="L9" authorId="0" shapeId="0" xr:uid="{BFCB558E-7571-4C69-9373-B11A81C0C45A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Diameter was use to calculate the Diameter D=Sqrt(4*Q/V*pi)</t>
        </r>
      </text>
    </comment>
    <comment ref="G14" authorId="0" shapeId="0" xr:uid="{73100444-EFF8-4634-8F11-F8CBCF3309F7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Using the cubic formula (V=Area*Heigh) just to get an estimate on depth changing.</t>
        </r>
      </text>
    </comment>
    <comment ref="G15" authorId="0" shapeId="0" xr:uid="{5694D404-D261-4455-863E-1823FF6C3734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Using the cubic formula (V=Area*Heigh) just to get an estimate on depth changing.</t>
        </r>
      </text>
    </comment>
    <comment ref="G16" authorId="0" shapeId="0" xr:uid="{43E34BC8-30B9-492A-AD09-09355A8989B7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Using the cubic formula (V=Area*Heigh) just to get an estimate on depth changing.</t>
        </r>
      </text>
    </comment>
    <comment ref="F20" authorId="0" shapeId="0" xr:uid="{F3AEAB23-5EEA-4574-9ED5-4F38F3B1EC88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Volume is 3 x the daily discharge storage to be operated for 10Hrs</t>
        </r>
      </text>
    </comment>
    <comment ref="F21" authorId="0" shapeId="0" xr:uid="{98502A95-2CAC-4801-B4A5-E1DF532BF4DE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Volume is 3 x the daily discharge storage to be operated for 10Hrs</t>
        </r>
      </text>
    </comment>
    <comment ref="D26" authorId="0" shapeId="0" xr:uid="{8C6267CC-612F-4E3B-A39E-3EF30AB3C870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Reversible (vertical axis)</t>
        </r>
      </text>
    </comment>
    <comment ref="D27" authorId="0" shapeId="0" xr:uid="{1B033EBF-20A4-4EDC-A119-C78BD19CB32A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10 hours (continuous from Minimul Operating Level (MOL) to Full Supply Level (FSL)) at nameplate capacity</t>
        </r>
      </text>
    </comment>
    <comment ref="D28" authorId="0" shapeId="0" xr:uid="{498432E5-F6F2-44E3-B0C5-E90A011E31AC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10 hours (continuous from FSL to MOL) at nameplate capacity</t>
        </r>
      </text>
    </comment>
    <comment ref="D29" authorId="0" shapeId="0" xr:uid="{DC725877-FF99-46A8-88E0-1B071B81AAD8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300 MWh at nameplate capacity, 80 MWh guaranteed for 8 hours</t>
        </r>
      </text>
    </comment>
    <comment ref="D33" authorId="0" shapeId="0" xr:uid="{6EF4A23A-BB42-436C-BC1F-F0B8C3F251CC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assuming the power factor 0.9 </t>
        </r>
      </text>
    </comment>
    <comment ref="D37" authorId="0" shapeId="0" xr:uid="{2C3D03AB-F116-4832-8719-035B4557A5AB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According to site visit estimate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Kerry Pep</author>
  </authors>
  <commentList>
    <comment ref="D5" authorId="0" shapeId="0" xr:uid="{3457237A-D212-4341-B928-87DE13FAC24F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According to PV Syst when tilting at 15 degree facing north</t>
        </r>
      </text>
    </comment>
    <comment ref="D11" authorId="0" shapeId="0" xr:uid="{B1E095B0-F991-41B4-ACF6-7B75848DE2DB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Current Rate</t>
        </r>
      </text>
    </comment>
    <comment ref="B21" authorId="0" shapeId="0" xr:uid="{ACFC2268-3A53-4D11-BFB5-059F106ABEBF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According to IRENA Renewable Power Generation Cost Report 2021. Degradation of Wind Turbine is 0.5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Kerry Pep</author>
  </authors>
  <commentList>
    <comment ref="C7" authorId="0" shapeId="0" xr:uid="{192AB3A3-72DB-4776-8125-F3E894FF219D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According to PV Syst when tilting at 15 degree facing north</t>
        </r>
      </text>
    </comment>
    <comment ref="C13" authorId="0" shapeId="0" xr:uid="{4872BC0E-FF40-4972-83B1-62CB14888F98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Current Rate</t>
        </r>
      </text>
    </comment>
    <comment ref="A23" authorId="0" shapeId="0" xr:uid="{A392C7DB-BEAE-416C-9F0F-DDA500CFAA3B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According to IRENA Renewable Power Generation Cost Report 2021. Degradation of Wind Turbine is 0.5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Kerry Pep</author>
  </authors>
  <commentList>
    <comment ref="D14" authorId="0" shapeId="0" xr:uid="{BEA20FA3-2BD0-470B-A3CD-CE9CE8EA7FB6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Current Rate</t>
        </r>
      </text>
    </comment>
    <comment ref="B27" authorId="0" shapeId="0" xr:uid="{28CC267E-5599-4722-9BE2-6C1B974A8F31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According to IRENA Renewable Power Generation Cost Report 2021. Degradation of Wind Turbine is 0.5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Kerry Pep</author>
  </authors>
  <commentList>
    <comment ref="D14" authorId="0" shapeId="0" xr:uid="{E52283BB-06CC-47DB-B14B-1DF0E32D9281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Current Rate</t>
        </r>
      </text>
    </comment>
    <comment ref="B32" authorId="0" shapeId="0" xr:uid="{E83FF036-5356-48BA-9603-B509D213D62C}">
      <text>
        <r>
          <rPr>
            <b/>
            <sz val="9"/>
            <color indexed="81"/>
            <rFont val="Tahoma"/>
            <family val="2"/>
          </rPr>
          <t>Kerry Pep:</t>
        </r>
        <r>
          <rPr>
            <sz val="9"/>
            <color indexed="81"/>
            <rFont val="Tahoma"/>
            <family val="2"/>
          </rPr>
          <t xml:space="preserve">
According to IRENA Renewable Power Generation Cost Report 2021. Degradation of Wind Turbine is 0.5</t>
        </r>
      </text>
    </comment>
  </commentList>
</comments>
</file>

<file path=xl/sharedStrings.xml><?xml version="1.0" encoding="utf-8"?>
<sst xmlns="http://schemas.openxmlformats.org/spreadsheetml/2006/main" count="702" uniqueCount="388">
  <si>
    <t>Unit</t>
  </si>
  <si>
    <t>Plant Capacity</t>
  </si>
  <si>
    <t>MW</t>
  </si>
  <si>
    <t>%</t>
  </si>
  <si>
    <t>Inflation Factor</t>
  </si>
  <si>
    <t>per kW</t>
  </si>
  <si>
    <t>Annual Generation</t>
  </si>
  <si>
    <t>MWh/year</t>
  </si>
  <si>
    <t>Period</t>
  </si>
  <si>
    <t>Years</t>
  </si>
  <si>
    <t>Degradtion Rate</t>
  </si>
  <si>
    <t>NPV</t>
  </si>
  <si>
    <t>Electricity Production (kWh)</t>
  </si>
  <si>
    <t>LCOE</t>
  </si>
  <si>
    <t>$/MWh</t>
  </si>
  <si>
    <t>$/kWh</t>
  </si>
  <si>
    <t>PV Degradation Rate</t>
  </si>
  <si>
    <t>Discount Rate:</t>
  </si>
  <si>
    <t>PSH O&amp;M</t>
  </si>
  <si>
    <t>Round Trip Efficiency</t>
  </si>
  <si>
    <t>Operational Losses</t>
  </si>
  <si>
    <t>PSH Operational Hours</t>
  </si>
  <si>
    <t>PSH CAPEX</t>
  </si>
  <si>
    <t>PPA</t>
  </si>
  <si>
    <t>Energy Needed for Pumping</t>
  </si>
  <si>
    <t>Grid Cost Off-Peak</t>
  </si>
  <si>
    <t>Grid Cost Peak</t>
  </si>
  <si>
    <t>Cost of Stored Energy (COSE)</t>
  </si>
  <si>
    <t>Grid Off-Peak</t>
  </si>
  <si>
    <t>Total Revenues</t>
  </si>
  <si>
    <t>Solar PV CAPEX</t>
  </si>
  <si>
    <t>Solar PV OPEX</t>
  </si>
  <si>
    <t>LCOE/PPA</t>
  </si>
  <si>
    <t>Discounted Rate</t>
  </si>
  <si>
    <t>Cumulative Cash Flow</t>
  </si>
  <si>
    <t>Net Cash Flow</t>
  </si>
  <si>
    <t>IRR</t>
  </si>
  <si>
    <t>Payback Period</t>
  </si>
  <si>
    <t>Pro Forma</t>
  </si>
  <si>
    <t>Project Costings</t>
  </si>
  <si>
    <r>
      <t>MW</t>
    </r>
    <r>
      <rPr>
        <sz val="6"/>
        <rFont val="Calibri"/>
        <family val="2"/>
        <scheme val="minor"/>
      </rPr>
      <t>DC</t>
    </r>
  </si>
  <si>
    <t>Solar Project Costings</t>
  </si>
  <si>
    <t>LCOE (Before Pumping)</t>
  </si>
  <si>
    <t>LCOE/PPA ($/kWh)</t>
  </si>
  <si>
    <t>No. of Cycles/Year</t>
  </si>
  <si>
    <t>years</t>
  </si>
  <si>
    <t>hours</t>
  </si>
  <si>
    <t>Inputs</t>
  </si>
  <si>
    <t>Derived Energy</t>
  </si>
  <si>
    <t>Annual Pumping Cost (PSH)</t>
  </si>
  <si>
    <t>Energy</t>
  </si>
  <si>
    <t>Fixed + Variable Cost</t>
  </si>
  <si>
    <t>Total Cost (CAPEX+O&amp;M+Grid Off-Peak)</t>
  </si>
  <si>
    <t>Total Energy Revenues</t>
  </si>
  <si>
    <t>Option.2</t>
  </si>
  <si>
    <t>NZD</t>
  </si>
  <si>
    <t>Conversion to USD</t>
  </si>
  <si>
    <t>CAPEX (USD)</t>
  </si>
  <si>
    <t>OPEX (USD)</t>
  </si>
  <si>
    <t>per kW-Year</t>
  </si>
  <si>
    <t>Grid Off-Peak Cost</t>
  </si>
  <si>
    <t>LCOE (Pumping)</t>
  </si>
  <si>
    <t>Net Cash Flow/ Annual Margin</t>
  </si>
  <si>
    <t xml:space="preserve"> </t>
  </si>
  <si>
    <t>Month</t>
  </si>
  <si>
    <t>Average</t>
  </si>
  <si>
    <t>Min</t>
  </si>
  <si>
    <t>Max</t>
  </si>
  <si>
    <t>Season</t>
  </si>
  <si>
    <t>Winter</t>
  </si>
  <si>
    <t>Summer</t>
  </si>
  <si>
    <t>Jun - Aug</t>
  </si>
  <si>
    <t>Nov-Jan</t>
  </si>
  <si>
    <t>Time</t>
  </si>
  <si>
    <t>12pm-3pm</t>
  </si>
  <si>
    <t>6-8am &amp; 6pm - 10pm</t>
  </si>
  <si>
    <t>Revenues ($)</t>
  </si>
  <si>
    <t>CAPEX</t>
  </si>
  <si>
    <t>OPEX</t>
  </si>
  <si>
    <t>NPV ($)</t>
  </si>
  <si>
    <t>IRR (%)</t>
  </si>
  <si>
    <t>Payback Period (Years)</t>
  </si>
  <si>
    <t>LCOE ($/kWh)</t>
  </si>
  <si>
    <t>FPV Period (Years)</t>
  </si>
  <si>
    <t>PSH Period (Years)</t>
  </si>
  <si>
    <t>COSE (Cost of Stored Energy) ($/MWh)</t>
  </si>
  <si>
    <t>$70.00</t>
  </si>
  <si>
    <t>Pumping Energy Cost</t>
  </si>
  <si>
    <t>Energy Generated (MWh)</t>
  </si>
  <si>
    <t>Energy for Pumping (MWh)</t>
  </si>
  <si>
    <t>PPA=LCOE ($/MWh)</t>
  </si>
  <si>
    <t>PPA ($/MWH)</t>
  </si>
  <si>
    <t>Buying Energy @ off-peak ($/MWh)</t>
  </si>
  <si>
    <t>Energy for Pumping (kWh)</t>
  </si>
  <si>
    <t>Discount Rate</t>
  </si>
  <si>
    <t>Base case</t>
  </si>
  <si>
    <t>As per FPV 60‑yr results</t>
  </si>
  <si>
    <t>30‑yr NPV = 10.56 M$, IRR = 4.5%</t>
  </si>
  <si>
    <t>PPA +10%</t>
  </si>
  <si>
    <t>PPA increased by 10%</t>
  </si>
  <si>
    <t>60‑yr NPV/IRR improve more than 30‑yr</t>
  </si>
  <si>
    <t>PPA −10%</t>
  </si>
  <si>
    <t>PPA decreased by 10%</t>
  </si>
  <si>
    <t>60‑yr more exposed to tariff reduction</t>
  </si>
  <si>
    <t>CAPEX +20%</t>
  </si>
  <si>
    <t>CAPEX increased by 20%</t>
  </si>
  <si>
    <t>30‑yr relatively more dominated by CAPEX</t>
  </si>
  <si>
    <t>CAPEX −20%</t>
  </si>
  <si>
    <t>CAPEX decreased by 20%</t>
  </si>
  <si>
    <t>Both horizons benefit; 30‑yr strongly</t>
  </si>
  <si>
    <t>OPEX +20%</t>
  </si>
  <si>
    <t>Annual OPEX increased by 20%</t>
  </si>
  <si>
    <t>60‑yr more sensitive (longer O&amp;M period)</t>
  </si>
  <si>
    <t>OPEX −20%</t>
  </si>
  <si>
    <t>Annual OPEX decreased by 20%</t>
  </si>
  <si>
    <t>Bigger lifetime saving than 30‑yr</t>
  </si>
  <si>
    <t>Energy yield +10%</t>
  </si>
  <si>
    <t>Energy (MWh) increased by 10%</t>
  </si>
  <si>
    <t>60‑yr revenue uplift larger than 30‑yr</t>
  </si>
  <si>
    <t>Energy yield −10%</t>
  </si>
  <si>
    <t>Energy (MWh) decreased by 10%</t>
  </si>
  <si>
    <t>60‑yr revenue loss larger than 30‑yr</t>
  </si>
  <si>
    <t>Discount rate = 5%</t>
  </si>
  <si>
    <t>Lower discount rate (vs 6% base)</t>
  </si>
  <si>
    <t>60‑yr NPV rises more than 30‑yr</t>
  </si>
  <si>
    <t>Discount rate = 7%</t>
  </si>
  <si>
    <t>Higher discount rate (vs 6% base)</t>
  </si>
  <si>
    <t>60‑yr NPV falls more than 30‑yr</t>
  </si>
  <si>
    <t>Discount rate = 9%</t>
  </si>
  <si>
    <t>Much higher discount rate</t>
  </si>
  <si>
    <t>Long‑life benefits heavily penalised</t>
  </si>
  <si>
    <t>NPV (M$)</t>
  </si>
  <si>
    <t>Spread vs 200 ($/MWh)</t>
  </si>
  <si>
    <t>Comment</t>
  </si>
  <si>
    <t>Base NZ case</t>
  </si>
  <si>
    <t>As per PSH base results</t>
  </si>
  <si>
    <t>Haywards winter min</t>
  </si>
  <si>
    <t>Slightly better than base</t>
  </si>
  <si>
    <t>Haywards summer min</t>
  </si>
  <si>
    <t>Very strong arbitrage; major uplift in NPV/IRR</t>
  </si>
  <si>
    <t>Higher off‑peak stress case</t>
  </si>
  <si>
    <t>Reduced spread; weaker but still viable</t>
  </si>
  <si>
    <t>FPV Sensitivity Results (60-Years)</t>
  </si>
  <si>
    <t>Comments / Comparison with 30yr case</t>
  </si>
  <si>
    <t>Parameter (60yr base)</t>
  </si>
  <si>
    <t>Pumping Price ($/MWh)</t>
  </si>
  <si>
    <t>Pumping Energy Cost ($)</t>
  </si>
  <si>
    <t>Hayward Seasonal</t>
  </si>
  <si>
    <t>Nodal Price ($/MWh)</t>
  </si>
  <si>
    <t>LCOE($/kWh)</t>
  </si>
  <si>
    <t>Positive results in NPV and IRR</t>
  </si>
  <si>
    <t>Positive Improve in IRR &amp; NPV</t>
  </si>
  <si>
    <t>IRR &amp; NPV drop but still viable</t>
  </si>
  <si>
    <t>Increasing CAPEX reduce IRR,NPV and increase LCOE</t>
  </si>
  <si>
    <t>Reduced CAPEX increase IRR,NPV and decrease LCOE</t>
  </si>
  <si>
    <t>Increasing OPEX reduce IRR,NPV and increase LCOE</t>
  </si>
  <si>
    <t>Reduced OPEX increase IRR,NPV and decrease LCOE</t>
  </si>
  <si>
    <t xml:space="preserve">60‑yr revenue uplift by large </t>
  </si>
  <si>
    <t>60‑yr revenue reduced</t>
  </si>
  <si>
    <t>5% discount rate improves IRR,NPV and LCOE</t>
  </si>
  <si>
    <t>7% discount rate does not improves IRR,NPV and LCOE</t>
  </si>
  <si>
    <t>9% discount rate does not improves IRR,NPV and LCOE</t>
  </si>
  <si>
    <t xml:space="preserve">Comments / Comparison </t>
  </si>
  <si>
    <t>Hydro Power Basic Calculation</t>
  </si>
  <si>
    <t>Penstock Diameter</t>
  </si>
  <si>
    <t xml:space="preserve">Daily Water Discharge </t>
  </si>
  <si>
    <t>Formulas Used</t>
  </si>
  <si>
    <t>Lakes</t>
  </si>
  <si>
    <t>Head (m)</t>
  </si>
  <si>
    <t>Density (p)</t>
  </si>
  <si>
    <t>PS Length (m)</t>
  </si>
  <si>
    <t>Turbine</t>
  </si>
  <si>
    <t>Max. Power Capicity</t>
  </si>
  <si>
    <t>Flow Rate (Q) (m^3/s)</t>
  </si>
  <si>
    <t>Velocity (m/s)</t>
  </si>
  <si>
    <t>Diameter</t>
  </si>
  <si>
    <t>Discharge Time (h)</t>
  </si>
  <si>
    <t>Discharge Volume (m^3)</t>
  </si>
  <si>
    <t>Power</t>
  </si>
  <si>
    <t>Option 1</t>
  </si>
  <si>
    <t>Lake 1</t>
  </si>
  <si>
    <t>Francis</t>
  </si>
  <si>
    <t>Flow Rate</t>
  </si>
  <si>
    <t>Lake 2</t>
  </si>
  <si>
    <t>Te Marua Current Capicity (Lower Resorvior)</t>
  </si>
  <si>
    <t>PSH to use 10% of Storage Capacity (m^3)</t>
  </si>
  <si>
    <t>Area (m^2)</t>
  </si>
  <si>
    <t>Depth (m)</t>
  </si>
  <si>
    <t>Capacity (ML)</t>
  </si>
  <si>
    <t>Capacity (m^3)</t>
  </si>
  <si>
    <t>10% (m^3)</t>
  </si>
  <si>
    <t>Drop Level Est.(m)</t>
  </si>
  <si>
    <t>MWh</t>
  </si>
  <si>
    <t>Combine</t>
  </si>
  <si>
    <t>Lake 3</t>
  </si>
  <si>
    <t>Option 2</t>
  </si>
  <si>
    <t>Key Operating Parameter</t>
  </si>
  <si>
    <t>Value</t>
  </si>
  <si>
    <t>Units</t>
  </si>
  <si>
    <t>Nameplate capacity</t>
  </si>
  <si>
    <t>Turbine type</t>
  </si>
  <si>
    <t>Full pumping generation cycle</t>
  </si>
  <si>
    <t xml:space="preserve">h </t>
  </si>
  <si>
    <t>Full generation cycle</t>
  </si>
  <si>
    <t>Total storage capacity</t>
  </si>
  <si>
    <t>Ratio of pumping to generation cycle time</t>
  </si>
  <si>
    <t>Maximum generation output (at HV terminals)</t>
  </si>
  <si>
    <t>Maximum generation net water head</t>
  </si>
  <si>
    <t>m</t>
  </si>
  <si>
    <t>Maximum pump draw (at HV terminals)</t>
  </si>
  <si>
    <t>Maximum pump draw net water head</t>
  </si>
  <si>
    <t>Minimum generation net water head</t>
  </si>
  <si>
    <t>Minimum pump draw net water head</t>
  </si>
  <si>
    <t>Head to Length Ratio</t>
  </si>
  <si>
    <t>&gt;0.1</t>
  </si>
  <si>
    <t>Panel Area (m^2)</t>
  </si>
  <si>
    <t>PV Type</t>
  </si>
  <si>
    <t>Panel Tilt</t>
  </si>
  <si>
    <t>Tilt Type</t>
  </si>
  <si>
    <t>PV Panel Rating (W)</t>
  </si>
  <si>
    <t>PV Capacity (kW)</t>
  </si>
  <si>
    <t xml:space="preserve">PV Modules </t>
  </si>
  <si>
    <t>Installation Area (m^2)</t>
  </si>
  <si>
    <t xml:space="preserve">Lake Area Used (%) </t>
  </si>
  <si>
    <t>Bifacial Monocrystallin</t>
  </si>
  <si>
    <t>Option 1 : 10 MW(DC) North Facing Array</t>
  </si>
  <si>
    <t>Option 2 : 10 MW(DC) East-West Facing Array</t>
  </si>
  <si>
    <t>DC Capacity</t>
  </si>
  <si>
    <t>MWp</t>
  </si>
  <si>
    <t>AC Capacity</t>
  </si>
  <si>
    <t>MVA</t>
  </si>
  <si>
    <t>DC/AC Ratio</t>
  </si>
  <si>
    <t>Floating Pontoon</t>
  </si>
  <si>
    <t>Xiamen Mibet/Ciel &amp; Terre</t>
  </si>
  <si>
    <t>PV Modules</t>
  </si>
  <si>
    <t>Jinko 600W</t>
  </si>
  <si>
    <t>No. Modules</t>
  </si>
  <si>
    <t>Inverter Capacity</t>
  </si>
  <si>
    <t>No.Inverter</t>
  </si>
  <si>
    <t>deg</t>
  </si>
  <si>
    <t>Period (2nd Life)</t>
  </si>
  <si>
    <t>North-Facing</t>
  </si>
  <si>
    <t>East-West Facing</t>
  </si>
  <si>
    <t>Energy Generated</t>
  </si>
  <si>
    <t>MWh/Year</t>
  </si>
  <si>
    <t>4.4MVA SMA Skid</t>
  </si>
  <si>
    <t>Array Losses</t>
  </si>
  <si>
    <t>System Losses</t>
  </si>
  <si>
    <t>kWh/day</t>
  </si>
  <si>
    <t xml:space="preserve">Zimmerman (ZIM) PV Floating </t>
  </si>
  <si>
    <t>Higher than East-West Facing</t>
  </si>
  <si>
    <t>Total Area Covered</t>
  </si>
  <si>
    <t>m^2</t>
  </si>
  <si>
    <t>Option</t>
  </si>
  <si>
    <t>Gravity (g) (m/s^2)</t>
  </si>
  <si>
    <t>Capacity (MW)</t>
  </si>
  <si>
    <t xml:space="preserve">Days </t>
  </si>
  <si>
    <t>PSH Economical Summery  Results</t>
  </si>
  <si>
    <t>FPV Economical Summery Results</t>
  </si>
  <si>
    <t>Inverter</t>
  </si>
  <si>
    <t>Panels</t>
  </si>
  <si>
    <t>Ratio</t>
  </si>
  <si>
    <t>Type</t>
  </si>
  <si>
    <t>FPV Sensitivity</t>
  </si>
  <si>
    <t>PSH Sensitivity</t>
  </si>
  <si>
    <t>Supplementary Material Contents</t>
  </si>
  <si>
    <t>NPV, IRR, and LCOE info</t>
  </si>
  <si>
    <t>Sensitivity analysis results</t>
  </si>
  <si>
    <t>Calculation before PVSyst &amp; after PVSyst Simulatio</t>
  </si>
  <si>
    <t>Calculation for volume discharge and proposed upper resorvior</t>
  </si>
  <si>
    <t>FPV Pumping Rate</t>
  </si>
  <si>
    <t>Grid Pumping Rate</t>
  </si>
  <si>
    <t>FPV Pumping Enegy</t>
  </si>
  <si>
    <t>Grid Pumping Energy</t>
  </si>
  <si>
    <t>FPV Cost PPA = LCOE</t>
  </si>
  <si>
    <t>FPV Pumping Cost</t>
  </si>
  <si>
    <t>FPV Cost PPA = LCOE ($/MWh)</t>
  </si>
  <si>
    <t>NPV, IRR, and LCOE information regarding FPV 50% Energy(MWh) use to pump unergy using LCOE as PPA</t>
  </si>
  <si>
    <t>PHS Economical Summery  Results</t>
  </si>
  <si>
    <t>Study</t>
  </si>
  <si>
    <t>Location / Context</t>
  </si>
  <si>
    <t>Integration Type</t>
  </si>
  <si>
    <t>Methodology</t>
  </si>
  <si>
    <t>Key Findings / Contributions</t>
  </si>
  <si>
    <t>Du et al. (2020)</t>
  </si>
  <si>
    <t>China</t>
  </si>
  <si>
    <t>FPV + PHS</t>
  </si>
  <si>
    <t>Techno-economic modelling (HOMER + MATLAB)</t>
  </si>
  <si>
    <t>Demonstrated economic feasibility of FPV-PHS integration with reservoir-based storage; highlighted synergies for peak shaving.</t>
  </si>
  <si>
    <t>Uehara et al. (2022)</t>
  </si>
  <si>
    <t>Japan (dam reservoir)</t>
  </si>
  <si>
    <t>Real-world case assessment + economic analysis</t>
  </si>
  <si>
    <t>Quantified energy output and financial returns; supported co-location on dam reservoirs.</t>
  </si>
  <si>
    <t>Cazzaniga et al. (2018)</t>
  </si>
  <si>
    <t>Italy</t>
  </si>
  <si>
    <t>FPV only (mentions PHS potential)</t>
  </si>
  <si>
    <t>Design &amp; performance analysis</t>
  </si>
  <si>
    <t>Emphasized FPV’s cooling effect, enhanced efficiency, and potential for coupling with hydro systems.</t>
  </si>
  <si>
    <t>Pimenta et al. (2015)</t>
  </si>
  <si>
    <t>Germany (theoretical framework)</t>
  </si>
  <si>
    <t>Solar + PHS (terrestrial)</t>
  </si>
  <si>
    <t>High-res simulation using real data</t>
  </si>
  <si>
    <t>Proposed a hybrid model that supports solar and PHS integration in temperate climates.</t>
  </si>
  <si>
    <t>Rehman et al. (2015)</t>
  </si>
  <si>
    <t>Global review</t>
  </si>
  <si>
    <t>PHS with renewables (incl. PV)</t>
  </si>
  <si>
    <t>Technological review</t>
  </si>
  <si>
    <t>Provided a broad foundation for understanding technical feasibility of PHS coupling with intermittent renewables.</t>
  </si>
  <si>
    <t>Country / Location</t>
  </si>
  <si>
    <t>Project Name / Site</t>
  </si>
  <si>
    <t>System Size (Power Generation)</t>
  </si>
  <si>
    <t>Type of PHS</t>
  </si>
  <si>
    <t>Scale</t>
  </si>
  <si>
    <t>Key Features / Notes</t>
  </si>
  <si>
    <t>Longyangxia Dam Reservoir FPV-PHS</t>
  </si>
  <si>
    <t>~40 MW (FPV) + ~320 MW (PHS)</t>
  </si>
  <si>
    <t>Large-scale PHS</t>
  </si>
  <si>
    <t>Large-scale</t>
  </si>
  <si>
    <t>One of the largest integrated FPV-PHS systems globally; high efficiency; significant water surface area used</t>
  </si>
  <si>
    <t>South Korea</t>
  </si>
  <si>
    <t>Hongcheon FPV-PHS Pilot</t>
  </si>
  <si>
    <t>~1 MW (FPV) + ~5 MW (PHS)</t>
  </si>
  <si>
    <t>Small-scale PHS</t>
  </si>
  <si>
    <t>Pilot/Demo</t>
  </si>
  <si>
    <t>Pilot project; research-driven; aims to optimize FPV-PHS synergy for grid stability</t>
  </si>
  <si>
    <t>Japan</t>
  </si>
  <si>
    <t>Lake Biwa Floating Solar + PHS</t>
  </si>
  <si>
    <t>~13 MW (FPV) + PHS under study</t>
  </si>
  <si>
    <t>Medium-scale PHS</t>
  </si>
  <si>
    <t>Medium-scale</t>
  </si>
  <si>
    <t>Integrates FPV with existing reservoir PHS; environmental impact minimized</t>
  </si>
  <si>
    <t>India</t>
  </si>
  <si>
    <t>Telangana FPV + PHS Hybrid Project</t>
  </si>
  <si>
    <t>~10 MW (FPV) + ~30 MW (PHS)</t>
  </si>
  <si>
    <t>Government-backed hybrid renewable initiative; cost-effective and land-saving</t>
  </si>
  <si>
    <t>USA</t>
  </si>
  <si>
    <t>California FPV-PHS Demonstration</t>
  </si>
  <si>
    <t>~5 MW (FPV) + ~20 MW (PHS)</t>
  </si>
  <si>
    <t>Small to medium PHS</t>
  </si>
  <si>
    <t>Focus on renewable integration and peak load management; pilot phase</t>
  </si>
  <si>
    <t>France</t>
  </si>
  <si>
    <t>Pompignac Reservoir FPV-PHS Pilot</t>
  </si>
  <si>
    <t>~2 MW (FPV) + PHS under planning</t>
  </si>
  <si>
    <t>Focus on reducing land use and enhancing reservoir utility</t>
  </si>
  <si>
    <t>Singapore</t>
  </si>
  <si>
    <t>Tengeh Reservoir Floating Solar + Storage</t>
  </si>
  <si>
    <t>~60 MW (FPV) + Battery Storage</t>
  </si>
  <si>
    <t>Battery storage hybrid</t>
  </si>
  <si>
    <t>Combining FPV with battery storage instead of PHS due to geography; innovative integration</t>
  </si>
  <si>
    <t>Countries Adopting or Piloting Integrated FPV–PHS Systems</t>
  </si>
  <si>
    <t>Literature review</t>
  </si>
  <si>
    <t>Identified gaps in literature</t>
  </si>
  <si>
    <t>International Studies on FPV-PHS Integration</t>
  </si>
  <si>
    <t>System design modelling and simulation</t>
  </si>
  <si>
    <t>Floating photovoltaic (FPV) array modelling</t>
  </si>
  <si>
    <t>Solar irridance data, temperature data, and loss diagram</t>
  </si>
  <si>
    <t>Source: Pvsyst</t>
  </si>
  <si>
    <t>Results and discussion</t>
  </si>
  <si>
    <t>Technical analysis</t>
  </si>
  <si>
    <t>Available Surface Area at Te Marua (Lower Reservoir) - North Facing; Calculation without PV Syst</t>
  </si>
  <si>
    <t>Available Surface Area at Te Marua (Lower Reservoir) - East-West-Facing; Calculation without PV Syst</t>
  </si>
  <si>
    <t>Parameter</t>
  </si>
  <si>
    <t>PVsyst Results</t>
  </si>
  <si>
    <r>
      <t>Panel Tilt (</t>
    </r>
    <r>
      <rPr>
        <b/>
        <sz val="11"/>
        <color rgb="FF000000"/>
        <rFont val="Calibri"/>
        <family val="2"/>
      </rPr>
      <t>°</t>
    </r>
    <r>
      <rPr>
        <b/>
        <sz val="9.35"/>
        <color rgb="FF000000"/>
        <rFont val="Cambria (body)"/>
      </rPr>
      <t>)</t>
    </r>
  </si>
  <si>
    <t>Energy Performance (North-Facing) is</t>
  </si>
  <si>
    <t>Efficiency (n)</t>
  </si>
  <si>
    <t>Proposed PHS setup with cost estimation - calculated daily volume (m^3) discharge</t>
  </si>
  <si>
    <t>PHS storage capacity utilisation (%)</t>
  </si>
  <si>
    <t>Proposed upper reservior - Lake 3</t>
  </si>
  <si>
    <t>PHS technical data</t>
  </si>
  <si>
    <t>Economic analysis</t>
  </si>
  <si>
    <t>Sensitivity analysis for FPV and PHS</t>
  </si>
  <si>
    <t>Scenario 1</t>
  </si>
  <si>
    <t>Pumping energy cost results</t>
  </si>
  <si>
    <t>PHS sensitivity results (60-Years)</t>
  </si>
  <si>
    <t>Hayward seasonal and nodal price data</t>
  </si>
  <si>
    <t>MWDC</t>
  </si>
  <si>
    <t>FPV Array Modelling</t>
  </si>
  <si>
    <t>Literature Review</t>
  </si>
  <si>
    <t>FPV Tech. Analysis</t>
  </si>
  <si>
    <t>PHS Tech. Analysis</t>
  </si>
  <si>
    <t>FPV 60 Years</t>
  </si>
  <si>
    <t>Scenario 2</t>
  </si>
  <si>
    <t>PVSyst irradiance and losses</t>
  </si>
  <si>
    <t>Studies on FPV-PHS integration, piloting integrated FPV-PHS system</t>
  </si>
  <si>
    <t>Round Tripl efficiency</t>
  </si>
  <si>
    <t>PVSyst Modelling Results</t>
  </si>
  <si>
    <t>Techno-economic assessment of integrated floating photovoltaic and small-scale pumped hydro storage systems: A case study of the Te Mārua reservoirs in Wellington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</si>
</sst>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[$$-1409]#,##0.00"/>
    <numFmt numFmtId="168" formatCode="#,##0.00_ ;[Red]\-#,##0.00\ "/>
    <numFmt numFmtId="169" formatCode="[$$-1409]#,##0.00;[Red]\-[$$-1409]#,##0.00"/>
    <numFmt numFmtId="170" formatCode="0.0"/>
    <numFmt numFmtId="171" formatCode="[$$-1409]#,##0.00;\-[$$-1409]#,##0.00"/>
    <numFmt numFmtId="172" formatCode="_-* #,##0_-;\-* #,##0_-;_-* &quot;-&quot;??_-;_-@_-"/>
    <numFmt numFmtId="173" formatCode="[$$-1409]#,##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mbria"/>
      <family val="1"/>
    </font>
    <font>
      <b/>
      <sz val="11"/>
      <color theme="1"/>
      <name val="Cambria (body)"/>
    </font>
    <font>
      <sz val="11"/>
      <color theme="1"/>
      <name val="Cambria (body)"/>
    </font>
    <font>
      <i/>
      <sz val="11"/>
      <color theme="1"/>
      <name val="Cambria (body)"/>
    </font>
    <font>
      <b/>
      <sz val="11"/>
      <color rgb="FF000000"/>
      <name val="Cambria (body)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9.35"/>
      <color rgb="FF000000"/>
      <name val="Cambria (body)"/>
    </font>
    <font>
      <sz val="10"/>
      <name val="Arial"/>
      <family val="2"/>
    </font>
    <font>
      <b/>
      <sz val="10"/>
      <name val="Arial"/>
      <family val="2"/>
    </font>
    <font>
      <b/>
      <sz val="20"/>
      <name val="Calibri"/>
      <family val="2"/>
      <scheme val="minor"/>
    </font>
    <font>
      <b/>
      <sz val="12"/>
      <name val="Cambria"/>
      <family val="1"/>
    </font>
    <font>
      <b/>
      <sz val="11"/>
      <color theme="1"/>
      <name val="Cambria"/>
      <family val="1"/>
    </font>
    <font>
      <b/>
      <sz val="11"/>
      <name val="Cambria"/>
      <family val="1"/>
    </font>
    <font>
      <b/>
      <sz val="11"/>
      <color theme="0"/>
      <name val="Cambria"/>
      <family val="1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i/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35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166" fontId="0" fillId="0" borderId="0" xfId="0" applyNumberFormat="1"/>
    <xf numFmtId="168" fontId="0" fillId="0" borderId="0" xfId="0" applyNumberFormat="1"/>
    <xf numFmtId="165" fontId="0" fillId="0" borderId="0" xfId="1" applyNumberFormat="1" applyFont="1" applyAlignment="1">
      <alignment horizontal="center"/>
    </xf>
    <xf numFmtId="169" fontId="0" fillId="0" borderId="0" xfId="0" applyNumberFormat="1"/>
    <xf numFmtId="43" fontId="0" fillId="0" borderId="0" xfId="1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/>
    <xf numFmtId="169" fontId="5" fillId="0" borderId="0" xfId="0" applyNumberFormat="1" applyFont="1"/>
    <xf numFmtId="165" fontId="0" fillId="0" borderId="0" xfId="1" applyNumberFormat="1" applyFont="1"/>
    <xf numFmtId="166" fontId="5" fillId="0" borderId="0" xfId="2" applyNumberFormat="1" applyFont="1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0" borderId="0" xfId="0" applyFont="1"/>
    <xf numFmtId="0" fontId="2" fillId="0" borderId="0" xfId="0" applyFont="1"/>
    <xf numFmtId="167" fontId="0" fillId="0" borderId="2" xfId="0" applyNumberFormat="1" applyBorder="1" applyAlignment="1">
      <alignment horizontal="center"/>
    </xf>
    <xf numFmtId="0" fontId="0" fillId="0" borderId="2" xfId="0" applyBorder="1"/>
    <xf numFmtId="169" fontId="0" fillId="0" borderId="2" xfId="0" applyNumberFormat="1" applyBorder="1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69" fontId="5" fillId="0" borderId="0" xfId="0" applyNumberFormat="1" applyFont="1" applyAlignment="1">
      <alignment horizontal="right"/>
    </xf>
    <xf numFmtId="0" fontId="0" fillId="0" borderId="2" xfId="0" applyBorder="1" applyAlignment="1">
      <alignment horizontal="left"/>
    </xf>
    <xf numFmtId="0" fontId="5" fillId="0" borderId="12" xfId="0" applyFont="1" applyBorder="1"/>
    <xf numFmtId="0" fontId="5" fillId="0" borderId="12" xfId="0" applyFont="1" applyBorder="1" applyAlignment="1">
      <alignment horizontal="right"/>
    </xf>
    <xf numFmtId="167" fontId="0" fillId="0" borderId="2" xfId="0" applyNumberFormat="1" applyBorder="1"/>
    <xf numFmtId="167" fontId="5" fillId="0" borderId="0" xfId="0" applyNumberFormat="1" applyFont="1"/>
    <xf numFmtId="0" fontId="5" fillId="0" borderId="2" xfId="0" applyFont="1" applyBorder="1" applyAlignment="1">
      <alignment horizontal="left"/>
    </xf>
    <xf numFmtId="0" fontId="6" fillId="4" borderId="0" xfId="0" applyFont="1" applyFill="1"/>
    <xf numFmtId="0" fontId="6" fillId="4" borderId="0" xfId="0" applyFont="1" applyFill="1" applyAlignment="1">
      <alignment horizontal="right"/>
    </xf>
    <xf numFmtId="0" fontId="9" fillId="5" borderId="0" xfId="0" applyFont="1" applyFill="1"/>
    <xf numFmtId="0" fontId="10" fillId="5" borderId="0" xfId="0" applyFont="1" applyFill="1" applyAlignment="1">
      <alignment horizontal="right"/>
    </xf>
    <xf numFmtId="0" fontId="10" fillId="5" borderId="0" xfId="0" applyFont="1" applyFill="1"/>
    <xf numFmtId="167" fontId="5" fillId="0" borderId="2" xfId="0" applyNumberFormat="1" applyFont="1" applyBorder="1"/>
    <xf numFmtId="0" fontId="6" fillId="6" borderId="0" xfId="0" applyFont="1" applyFill="1"/>
    <xf numFmtId="0" fontId="5" fillId="6" borderId="0" xfId="0" applyFont="1" applyFill="1" applyAlignment="1">
      <alignment horizontal="right"/>
    </xf>
    <xf numFmtId="0" fontId="5" fillId="6" borderId="0" xfId="0" applyFont="1" applyFill="1"/>
    <xf numFmtId="0" fontId="6" fillId="0" borderId="3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13" xfId="0" applyFont="1" applyBorder="1"/>
    <xf numFmtId="169" fontId="6" fillId="7" borderId="10" xfId="0" applyNumberFormat="1" applyFont="1" applyFill="1" applyBorder="1"/>
    <xf numFmtId="169" fontId="6" fillId="3" borderId="10" xfId="0" applyNumberFormat="1" applyFont="1" applyFill="1" applyBorder="1"/>
    <xf numFmtId="0" fontId="6" fillId="3" borderId="4" xfId="0" applyFont="1" applyFill="1" applyBorder="1"/>
    <xf numFmtId="169" fontId="6" fillId="3" borderId="11" xfId="0" applyNumberFormat="1" applyFont="1" applyFill="1" applyBorder="1"/>
    <xf numFmtId="0" fontId="6" fillId="3" borderId="8" xfId="0" applyFont="1" applyFill="1" applyBorder="1"/>
    <xf numFmtId="169" fontId="6" fillId="3" borderId="9" xfId="0" applyNumberFormat="1" applyFont="1" applyFill="1" applyBorder="1"/>
    <xf numFmtId="0" fontId="6" fillId="3" borderId="14" xfId="0" applyFont="1" applyFill="1" applyBorder="1"/>
    <xf numFmtId="164" fontId="5" fillId="0" borderId="0" xfId="1" applyFont="1"/>
    <xf numFmtId="170" fontId="5" fillId="0" borderId="0" xfId="2" applyNumberFormat="1" applyFont="1" applyAlignment="1">
      <alignment horizontal="right"/>
    </xf>
    <xf numFmtId="0" fontId="12" fillId="0" borderId="0" xfId="3"/>
    <xf numFmtId="166" fontId="5" fillId="0" borderId="0" xfId="2" applyNumberFormat="1" applyFont="1" applyBorder="1"/>
    <xf numFmtId="166" fontId="5" fillId="0" borderId="0" xfId="2" applyNumberFormat="1" applyFont="1"/>
    <xf numFmtId="166" fontId="6" fillId="7" borderId="15" xfId="0" applyNumberFormat="1" applyFont="1" applyFill="1" applyBorder="1"/>
    <xf numFmtId="0" fontId="8" fillId="0" borderId="0" xfId="0" applyFont="1" applyAlignment="1">
      <alignment horizontal="right"/>
    </xf>
    <xf numFmtId="170" fontId="5" fillId="0" borderId="0" xfId="0" applyNumberFormat="1" applyFont="1"/>
    <xf numFmtId="171" fontId="5" fillId="0" borderId="0" xfId="1" applyNumberFormat="1" applyFont="1" applyFill="1" applyBorder="1"/>
    <xf numFmtId="2" fontId="6" fillId="7" borderId="11" xfId="0" applyNumberFormat="1" applyFont="1" applyFill="1" applyBorder="1" applyAlignment="1">
      <alignment horizontal="right"/>
    </xf>
    <xf numFmtId="0" fontId="9" fillId="5" borderId="2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center"/>
    </xf>
    <xf numFmtId="0" fontId="9" fillId="8" borderId="2" xfId="0" applyFont="1" applyFill="1" applyBorder="1"/>
    <xf numFmtId="0" fontId="9" fillId="8" borderId="2" xfId="0" applyFont="1" applyFill="1" applyBorder="1" applyAlignment="1">
      <alignment horizontal="center"/>
    </xf>
    <xf numFmtId="0" fontId="9" fillId="8" borderId="0" xfId="0" applyFont="1" applyFill="1"/>
    <xf numFmtId="0" fontId="9" fillId="8" borderId="0" xfId="0" applyFont="1" applyFill="1" applyAlignment="1">
      <alignment horizontal="right"/>
    </xf>
    <xf numFmtId="0" fontId="5" fillId="8" borderId="0" xfId="0" applyFont="1" applyFill="1"/>
    <xf numFmtId="171" fontId="5" fillId="0" borderId="9" xfId="1" applyNumberFormat="1" applyFont="1" applyBorder="1"/>
    <xf numFmtId="9" fontId="5" fillId="0" borderId="0" xfId="2" applyFont="1"/>
    <xf numFmtId="2" fontId="5" fillId="0" borderId="0" xfId="0" applyNumberFormat="1" applyFont="1"/>
    <xf numFmtId="0" fontId="5" fillId="7" borderId="4" xfId="0" applyFont="1" applyFill="1" applyBorder="1"/>
    <xf numFmtId="0" fontId="6" fillId="7" borderId="6" xfId="0" applyFont="1" applyFill="1" applyBorder="1"/>
    <xf numFmtId="0" fontId="6" fillId="7" borderId="8" xfId="0" applyFont="1" applyFill="1" applyBorder="1"/>
    <xf numFmtId="0" fontId="0" fillId="0" borderId="0" xfId="0" applyAlignment="1">
      <alignment vertical="top" wrapText="1"/>
    </xf>
    <xf numFmtId="0" fontId="17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5" fillId="0" borderId="9" xfId="0" applyFont="1" applyBorder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3" fillId="4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0" fillId="10" borderId="0" xfId="0" applyFill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0" fillId="10" borderId="0" xfId="0" applyFont="1" applyFill="1" applyAlignment="1">
      <alignment horizontal="left"/>
    </xf>
    <xf numFmtId="0" fontId="22" fillId="10" borderId="0" xfId="0" applyFont="1" applyFill="1" applyAlignment="1">
      <alignment horizontal="left"/>
    </xf>
    <xf numFmtId="0" fontId="15" fillId="10" borderId="0" xfId="0" applyFont="1" applyFill="1"/>
    <xf numFmtId="0" fontId="28" fillId="10" borderId="9" xfId="0" applyFont="1" applyFill="1" applyBorder="1" applyAlignment="1">
      <alignment horizontal="center" vertical="center"/>
    </xf>
    <xf numFmtId="4" fontId="27" fillId="10" borderId="9" xfId="0" applyNumberFormat="1" applyFont="1" applyFill="1" applyBorder="1" applyAlignment="1">
      <alignment horizontal="left" vertical="center"/>
    </xf>
    <xf numFmtId="2" fontId="27" fillId="10" borderId="9" xfId="0" applyNumberFormat="1" applyFont="1" applyFill="1" applyBorder="1" applyAlignment="1">
      <alignment horizontal="left" vertical="center"/>
    </xf>
    <xf numFmtId="0" fontId="27" fillId="10" borderId="9" xfId="0" applyFont="1" applyFill="1" applyBorder="1" applyAlignment="1">
      <alignment horizontal="left" vertical="center"/>
    </xf>
    <xf numFmtId="1" fontId="27" fillId="10" borderId="9" xfId="0" applyNumberFormat="1" applyFont="1" applyFill="1" applyBorder="1" applyAlignment="1">
      <alignment horizontal="left" vertical="center"/>
    </xf>
    <xf numFmtId="3" fontId="27" fillId="10" borderId="9" xfId="0" applyNumberFormat="1" applyFont="1" applyFill="1" applyBorder="1" applyAlignment="1">
      <alignment horizontal="left" vertical="center"/>
    </xf>
    <xf numFmtId="9" fontId="27" fillId="10" borderId="9" xfId="2" applyFont="1" applyFill="1" applyBorder="1" applyAlignment="1">
      <alignment horizontal="left" vertical="center"/>
    </xf>
    <xf numFmtId="0" fontId="2" fillId="10" borderId="0" xfId="0" applyFont="1" applyFill="1"/>
    <xf numFmtId="4" fontId="2" fillId="10" borderId="0" xfId="0" applyNumberFormat="1" applyFont="1" applyFill="1"/>
    <xf numFmtId="2" fontId="2" fillId="10" borderId="0" xfId="0" applyNumberFormat="1" applyFont="1" applyFill="1"/>
    <xf numFmtId="1" fontId="2" fillId="10" borderId="0" xfId="0" applyNumberFormat="1" applyFont="1" applyFill="1"/>
    <xf numFmtId="3" fontId="2" fillId="10" borderId="0" xfId="0" applyNumberFormat="1" applyFont="1" applyFill="1"/>
    <xf numFmtId="9" fontId="2" fillId="10" borderId="0" xfId="2" applyFont="1" applyFill="1" applyBorder="1"/>
    <xf numFmtId="0" fontId="0" fillId="10" borderId="0" xfId="0" applyFill="1" applyAlignment="1">
      <alignment horizontal="center"/>
    </xf>
    <xf numFmtId="0" fontId="16" fillId="10" borderId="0" xfId="0" applyFont="1" applyFill="1" applyAlignment="1">
      <alignment vertical="center"/>
    </xf>
    <xf numFmtId="0" fontId="0" fillId="10" borderId="0" xfId="0" applyFill="1" applyAlignment="1">
      <alignment vertical="center"/>
    </xf>
    <xf numFmtId="9" fontId="0" fillId="10" borderId="0" xfId="2" applyFont="1" applyFill="1"/>
    <xf numFmtId="9" fontId="0" fillId="10" borderId="0" xfId="0" applyNumberFormat="1" applyFill="1"/>
    <xf numFmtId="0" fontId="27" fillId="10" borderId="9" xfId="0" applyFont="1" applyFill="1" applyBorder="1" applyAlignment="1">
      <alignment vertical="center"/>
    </xf>
    <xf numFmtId="9" fontId="27" fillId="10" borderId="7" xfId="2" applyFont="1" applyFill="1" applyBorder="1" applyAlignment="1">
      <alignment horizontal="right" vertical="center"/>
    </xf>
    <xf numFmtId="0" fontId="13" fillId="10" borderId="0" xfId="0" applyFont="1" applyFill="1"/>
    <xf numFmtId="0" fontId="5" fillId="10" borderId="0" xfId="0" applyFont="1" applyFill="1"/>
    <xf numFmtId="0" fontId="27" fillId="10" borderId="0" xfId="0" applyFont="1" applyFill="1"/>
    <xf numFmtId="0" fontId="20" fillId="4" borderId="9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vertical="center"/>
    </xf>
    <xf numFmtId="2" fontId="27" fillId="10" borderId="9" xfId="2" applyNumberFormat="1" applyFont="1" applyFill="1" applyBorder="1" applyAlignment="1">
      <alignment horizontal="left" vertical="center"/>
    </xf>
    <xf numFmtId="0" fontId="28" fillId="10" borderId="9" xfId="0" applyFont="1" applyFill="1" applyBorder="1" applyAlignment="1">
      <alignment vertical="center"/>
    </xf>
    <xf numFmtId="0" fontId="5" fillId="10" borderId="0" xfId="0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4" fontId="2" fillId="10" borderId="0" xfId="0" applyNumberFormat="1" applyFont="1" applyFill="1" applyAlignment="1">
      <alignment vertical="center"/>
    </xf>
    <xf numFmtId="2" fontId="8" fillId="10" borderId="0" xfId="0" applyNumberFormat="1" applyFont="1" applyFill="1" applyAlignment="1">
      <alignment vertical="center"/>
    </xf>
    <xf numFmtId="3" fontId="2" fillId="10" borderId="0" xfId="0" applyNumberFormat="1" applyFont="1" applyFill="1" applyAlignment="1">
      <alignment vertical="center"/>
    </xf>
    <xf numFmtId="2" fontId="2" fillId="10" borderId="0" xfId="0" applyNumberFormat="1" applyFont="1" applyFill="1" applyAlignment="1">
      <alignment vertical="center"/>
    </xf>
    <xf numFmtId="9" fontId="5" fillId="10" borderId="0" xfId="2" applyFont="1" applyFill="1" applyBorder="1" applyAlignment="1">
      <alignment vertical="center"/>
    </xf>
    <xf numFmtId="1" fontId="0" fillId="10" borderId="0" xfId="0" applyNumberFormat="1" applyFill="1" applyAlignment="1">
      <alignment vertical="center"/>
    </xf>
    <xf numFmtId="0" fontId="7" fillId="10" borderId="0" xfId="0" applyFont="1" applyFill="1" applyAlignment="1">
      <alignment horizontal="left" vertical="center"/>
    </xf>
    <xf numFmtId="10" fontId="7" fillId="10" borderId="0" xfId="0" applyNumberFormat="1" applyFont="1" applyFill="1" applyAlignment="1">
      <alignment horizontal="left" vertical="center"/>
    </xf>
    <xf numFmtId="0" fontId="0" fillId="10" borderId="0" xfId="0" applyFill="1" applyAlignment="1">
      <alignment wrapText="1"/>
    </xf>
    <xf numFmtId="0" fontId="0" fillId="10" borderId="0" xfId="0" applyFill="1" applyAlignment="1">
      <alignment horizontal="center" vertical="center"/>
    </xf>
    <xf numFmtId="0" fontId="27" fillId="10" borderId="13" xfId="0" applyFont="1" applyFill="1" applyBorder="1" applyAlignment="1">
      <alignment horizontal="center" vertical="center"/>
    </xf>
    <xf numFmtId="0" fontId="27" fillId="10" borderId="14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wrapText="1"/>
    </xf>
    <xf numFmtId="0" fontId="28" fillId="10" borderId="9" xfId="0" applyFont="1" applyFill="1" applyBorder="1" applyAlignment="1">
      <alignment horizontal="center" vertical="center" wrapText="1"/>
    </xf>
    <xf numFmtId="0" fontId="29" fillId="10" borderId="8" xfId="0" applyFont="1" applyFill="1" applyBorder="1" applyAlignment="1">
      <alignment horizontal="center" vertical="center"/>
    </xf>
    <xf numFmtId="0" fontId="27" fillId="10" borderId="9" xfId="0" applyFont="1" applyFill="1" applyBorder="1" applyAlignment="1">
      <alignment horizontal="left" vertical="center" wrapText="1"/>
    </xf>
    <xf numFmtId="2" fontId="27" fillId="10" borderId="9" xfId="0" applyNumberFormat="1" applyFont="1" applyFill="1" applyBorder="1" applyAlignment="1">
      <alignment horizontal="left" vertical="center" wrapText="1"/>
    </xf>
    <xf numFmtId="0" fontId="0" fillId="10" borderId="0" xfId="0" applyFill="1" applyAlignment="1">
      <alignment horizontal="left" vertical="center"/>
    </xf>
    <xf numFmtId="0" fontId="0" fillId="10" borderId="0" xfId="0" applyFill="1" applyAlignment="1">
      <alignment horizontal="left"/>
    </xf>
    <xf numFmtId="0" fontId="20" fillId="10" borderId="0" xfId="0" applyFont="1" applyFill="1" applyAlignment="1">
      <alignment horizontal="left" vertical="center"/>
    </xf>
    <xf numFmtId="0" fontId="32" fillId="10" borderId="9" xfId="0" applyFont="1" applyFill="1" applyBorder="1" applyAlignment="1">
      <alignment horizontal="left" vertical="center"/>
    </xf>
    <xf numFmtId="170" fontId="32" fillId="10" borderId="9" xfId="0" applyNumberFormat="1" applyFont="1" applyFill="1" applyBorder="1" applyAlignment="1">
      <alignment horizontal="left" vertical="center"/>
    </xf>
    <xf numFmtId="0" fontId="28" fillId="10" borderId="9" xfId="0" applyFont="1" applyFill="1" applyBorder="1" applyAlignment="1">
      <alignment vertical="center" wrapText="1"/>
    </xf>
    <xf numFmtId="0" fontId="36" fillId="4" borderId="9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0" fontId="32" fillId="10" borderId="9" xfId="0" applyFont="1" applyFill="1" applyBorder="1" applyAlignment="1">
      <alignment horizontal="left" vertical="center" wrapText="1"/>
    </xf>
    <xf numFmtId="167" fontId="32" fillId="10" borderId="9" xfId="0" applyNumberFormat="1" applyFont="1" applyFill="1" applyBorder="1" applyAlignment="1">
      <alignment horizontal="left" vertical="center" wrapText="1"/>
    </xf>
    <xf numFmtId="9" fontId="32" fillId="10" borderId="9" xfId="2" applyFont="1" applyFill="1" applyBorder="1" applyAlignment="1">
      <alignment horizontal="left" vertical="center" wrapText="1"/>
    </xf>
    <xf numFmtId="0" fontId="28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left" vertical="center" wrapText="1"/>
    </xf>
    <xf numFmtId="167" fontId="32" fillId="10" borderId="0" xfId="0" applyNumberFormat="1" applyFont="1" applyFill="1" applyAlignment="1">
      <alignment horizontal="left" vertical="center" wrapText="1"/>
    </xf>
    <xf numFmtId="9" fontId="32" fillId="10" borderId="0" xfId="2" applyFont="1" applyFill="1" applyBorder="1" applyAlignment="1">
      <alignment horizontal="left" vertical="center" wrapText="1"/>
    </xf>
    <xf numFmtId="167" fontId="6" fillId="10" borderId="0" xfId="0" applyNumberFormat="1" applyFont="1" applyFill="1" applyAlignment="1">
      <alignment vertical="center"/>
    </xf>
    <xf numFmtId="9" fontId="6" fillId="10" borderId="0" xfId="2" applyFont="1" applyFill="1" applyBorder="1" applyAlignment="1">
      <alignment vertical="center"/>
    </xf>
    <xf numFmtId="167" fontId="27" fillId="10" borderId="9" xfId="0" applyNumberFormat="1" applyFont="1" applyFill="1" applyBorder="1" applyAlignment="1">
      <alignment horizontal="left" vertical="center" wrapText="1"/>
    </xf>
    <xf numFmtId="167" fontId="27" fillId="10" borderId="9" xfId="1" applyNumberFormat="1" applyFont="1" applyFill="1" applyBorder="1" applyAlignment="1">
      <alignment horizontal="left" vertical="center" wrapText="1"/>
    </xf>
    <xf numFmtId="9" fontId="0" fillId="10" borderId="0" xfId="2" applyFont="1" applyFill="1" applyAlignment="1">
      <alignment wrapText="1"/>
    </xf>
    <xf numFmtId="167" fontId="0" fillId="10" borderId="0" xfId="0" applyNumberFormat="1" applyFill="1"/>
    <xf numFmtId="0" fontId="0" fillId="10" borderId="0" xfId="0" applyFill="1" applyAlignment="1">
      <alignment horizontal="center" vertical="center" wrapText="1"/>
    </xf>
    <xf numFmtId="0" fontId="33" fillId="10" borderId="9" xfId="0" applyFont="1" applyFill="1" applyBorder="1" applyAlignment="1">
      <alignment horizontal="center" wrapText="1"/>
    </xf>
    <xf numFmtId="0" fontId="38" fillId="8" borderId="0" xfId="0" applyFont="1" applyFill="1"/>
    <xf numFmtId="0" fontId="38" fillId="8" borderId="2" xfId="0" applyFont="1" applyFill="1" applyBorder="1" applyAlignment="1">
      <alignment horizontal="left"/>
    </xf>
    <xf numFmtId="0" fontId="37" fillId="6" borderId="0" xfId="0" applyFont="1" applyFill="1"/>
    <xf numFmtId="0" fontId="33" fillId="0" borderId="2" xfId="0" applyFont="1" applyBorder="1"/>
    <xf numFmtId="0" fontId="32" fillId="0" borderId="2" xfId="0" applyFont="1" applyBorder="1" applyAlignment="1">
      <alignment horizontal="left"/>
    </xf>
    <xf numFmtId="0" fontId="32" fillId="0" borderId="2" xfId="0" applyFont="1" applyBorder="1" applyAlignment="1">
      <alignment horizontal="right"/>
    </xf>
    <xf numFmtId="0" fontId="32" fillId="0" borderId="0" xfId="0" applyFont="1"/>
    <xf numFmtId="0" fontId="32" fillId="0" borderId="0" xfId="0" applyFont="1" applyAlignment="1">
      <alignment horizontal="left"/>
    </xf>
    <xf numFmtId="0" fontId="32" fillId="0" borderId="0" xfId="1" applyNumberFormat="1" applyFont="1" applyAlignment="1">
      <alignment horizontal="right"/>
    </xf>
    <xf numFmtId="0" fontId="33" fillId="0" borderId="0" xfId="0" applyFont="1"/>
    <xf numFmtId="1" fontId="32" fillId="0" borderId="0" xfId="2" applyNumberFormat="1" applyFont="1" applyAlignment="1">
      <alignment horizontal="right"/>
    </xf>
    <xf numFmtId="167" fontId="32" fillId="0" borderId="0" xfId="0" applyNumberFormat="1" applyFont="1"/>
    <xf numFmtId="9" fontId="32" fillId="0" borderId="0" xfId="2" applyFont="1" applyAlignment="1">
      <alignment horizontal="right"/>
    </xf>
    <xf numFmtId="166" fontId="32" fillId="0" borderId="0" xfId="2" applyNumberFormat="1" applyFont="1" applyAlignment="1">
      <alignment horizontal="right"/>
    </xf>
    <xf numFmtId="167" fontId="32" fillId="0" borderId="0" xfId="0" applyNumberFormat="1" applyFont="1" applyAlignment="1">
      <alignment horizontal="right"/>
    </xf>
    <xf numFmtId="0" fontId="39" fillId="0" borderId="0" xfId="3" applyFont="1"/>
    <xf numFmtId="0" fontId="27" fillId="0" borderId="0" xfId="0" applyFont="1" applyAlignment="1">
      <alignment horizontal="left"/>
    </xf>
    <xf numFmtId="170" fontId="32" fillId="0" borderId="0" xfId="2" applyNumberFormat="1" applyFont="1" applyAlignment="1">
      <alignment horizontal="right"/>
    </xf>
    <xf numFmtId="0" fontId="27" fillId="0" borderId="0" xfId="0" applyFont="1" applyAlignment="1">
      <alignment horizontal="left" vertical="center" indent="1"/>
    </xf>
    <xf numFmtId="0" fontId="40" fillId="0" borderId="0" xfId="0" applyFont="1"/>
    <xf numFmtId="9" fontId="32" fillId="0" borderId="0" xfId="2" applyFont="1" applyFill="1" applyAlignment="1">
      <alignment horizontal="right"/>
    </xf>
    <xf numFmtId="172" fontId="32" fillId="0" borderId="0" xfId="1" applyNumberFormat="1" applyFont="1" applyBorder="1" applyAlignment="1">
      <alignment horizontal="right"/>
    </xf>
    <xf numFmtId="164" fontId="32" fillId="0" borderId="0" xfId="1" applyFont="1"/>
    <xf numFmtId="171" fontId="33" fillId="0" borderId="0" xfId="1" applyNumberFormat="1" applyFont="1" applyFill="1" applyBorder="1"/>
    <xf numFmtId="172" fontId="32" fillId="0" borderId="0" xfId="1" applyNumberFormat="1" applyFont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  <xf numFmtId="166" fontId="27" fillId="0" borderId="0" xfId="0" applyNumberFormat="1" applyFont="1"/>
    <xf numFmtId="168" fontId="27" fillId="0" borderId="0" xfId="0" applyNumberFormat="1" applyFont="1"/>
    <xf numFmtId="165" fontId="27" fillId="0" borderId="0" xfId="1" applyNumberFormat="1" applyFont="1" applyAlignment="1">
      <alignment horizontal="center"/>
    </xf>
    <xf numFmtId="43" fontId="27" fillId="0" borderId="0" xfId="1" applyNumberFormat="1" applyFont="1" applyAlignment="1">
      <alignment horizontal="center"/>
    </xf>
    <xf numFmtId="167" fontId="27" fillId="0" borderId="0" xfId="0" applyNumberFormat="1" applyFont="1"/>
    <xf numFmtId="0" fontId="27" fillId="0" borderId="2" xfId="0" applyFont="1" applyBorder="1"/>
    <xf numFmtId="0" fontId="27" fillId="0" borderId="2" xfId="0" applyFont="1" applyBorder="1" applyAlignment="1">
      <alignment horizontal="center"/>
    </xf>
    <xf numFmtId="167" fontId="27" fillId="0" borderId="2" xfId="0" applyNumberFormat="1" applyFont="1" applyBorder="1"/>
    <xf numFmtId="167" fontId="27" fillId="0" borderId="2" xfId="1" applyNumberFormat="1" applyFont="1" applyBorder="1" applyAlignment="1">
      <alignment horizontal="center"/>
    </xf>
    <xf numFmtId="43" fontId="27" fillId="0" borderId="0" xfId="1" applyNumberFormat="1" applyFont="1" applyBorder="1" applyAlignment="1">
      <alignment horizontal="center"/>
    </xf>
    <xf numFmtId="0" fontId="33" fillId="0" borderId="0" xfId="0" applyFont="1" applyAlignment="1">
      <alignment horizontal="left"/>
    </xf>
    <xf numFmtId="169" fontId="27" fillId="0" borderId="0" xfId="0" applyNumberFormat="1" applyFont="1"/>
    <xf numFmtId="167" fontId="27" fillId="0" borderId="0" xfId="0" applyNumberFormat="1" applyFont="1" applyAlignment="1">
      <alignment horizontal="center"/>
    </xf>
    <xf numFmtId="164" fontId="27" fillId="0" borderId="0" xfId="0" applyNumberFormat="1" applyFont="1"/>
    <xf numFmtId="169" fontId="32" fillId="0" borderId="0" xfId="0" applyNumberFormat="1" applyFont="1"/>
    <xf numFmtId="165" fontId="27" fillId="0" borderId="0" xfId="1" applyNumberFormat="1" applyFont="1"/>
    <xf numFmtId="0" fontId="32" fillId="0" borderId="0" xfId="0" applyFont="1" applyAlignment="1">
      <alignment horizontal="left" indent="2"/>
    </xf>
    <xf numFmtId="4" fontId="27" fillId="0" borderId="0" xfId="0" applyNumberFormat="1" applyFont="1"/>
    <xf numFmtId="0" fontId="32" fillId="0" borderId="2" xfId="0" applyFont="1" applyBorder="1" applyAlignment="1">
      <alignment horizontal="left" indent="2"/>
    </xf>
    <xf numFmtId="167" fontId="27" fillId="0" borderId="2" xfId="0" applyNumberFormat="1" applyFont="1" applyBorder="1" applyAlignment="1">
      <alignment horizontal="center"/>
    </xf>
    <xf numFmtId="169" fontId="27" fillId="0" borderId="2" xfId="0" applyNumberFormat="1" applyFont="1" applyBorder="1"/>
    <xf numFmtId="4" fontId="27" fillId="0" borderId="2" xfId="0" applyNumberFormat="1" applyFont="1" applyBorder="1"/>
    <xf numFmtId="0" fontId="28" fillId="0" borderId="2" xfId="0" applyFont="1" applyBorder="1"/>
    <xf numFmtId="0" fontId="32" fillId="0" borderId="2" xfId="0" applyFont="1" applyBorder="1"/>
    <xf numFmtId="169" fontId="33" fillId="0" borderId="2" xfId="0" applyNumberFormat="1" applyFont="1" applyBorder="1"/>
    <xf numFmtId="165" fontId="27" fillId="0" borderId="2" xfId="1" applyNumberFormat="1" applyFont="1" applyBorder="1"/>
    <xf numFmtId="169" fontId="33" fillId="0" borderId="0" xfId="0" applyNumberFormat="1" applyFont="1"/>
    <xf numFmtId="165" fontId="27" fillId="0" borderId="0" xfId="1" applyNumberFormat="1" applyFont="1" applyBorder="1"/>
    <xf numFmtId="171" fontId="27" fillId="0" borderId="0" xfId="0" applyNumberFormat="1" applyFont="1"/>
    <xf numFmtId="171" fontId="27" fillId="0" borderId="2" xfId="0" applyNumberFormat="1" applyFont="1" applyBorder="1"/>
    <xf numFmtId="0" fontId="33" fillId="0" borderId="3" xfId="0" applyFont="1" applyBorder="1"/>
    <xf numFmtId="0" fontId="27" fillId="0" borderId="1" xfId="0" applyFont="1" applyBorder="1" applyAlignment="1">
      <alignment horizontal="center"/>
    </xf>
    <xf numFmtId="167" fontId="27" fillId="0" borderId="1" xfId="0" applyNumberFormat="1" applyFont="1" applyBorder="1" applyAlignment="1">
      <alignment horizontal="center"/>
    </xf>
    <xf numFmtId="0" fontId="27" fillId="7" borderId="4" xfId="0" applyFont="1" applyFill="1" applyBorder="1"/>
    <xf numFmtId="0" fontId="33" fillId="0" borderId="5" xfId="0" applyFont="1" applyBorder="1"/>
    <xf numFmtId="0" fontId="27" fillId="7" borderId="6" xfId="0" applyFont="1" applyFill="1" applyBorder="1"/>
    <xf numFmtId="0" fontId="33" fillId="0" borderId="7" xfId="0" applyFont="1" applyBorder="1"/>
    <xf numFmtId="0" fontId="27" fillId="7" borderId="8" xfId="0" applyFont="1" applyFill="1" applyBorder="1"/>
    <xf numFmtId="0" fontId="27" fillId="3" borderId="4" xfId="0" applyFont="1" applyFill="1" applyBorder="1"/>
    <xf numFmtId="0" fontId="27" fillId="3" borderId="8" xfId="0" applyFont="1" applyFill="1" applyBorder="1"/>
    <xf numFmtId="0" fontId="33" fillId="0" borderId="13" xfId="0" applyFont="1" applyBorder="1"/>
    <xf numFmtId="165" fontId="27" fillId="9" borderId="14" xfId="1" applyNumberFormat="1" applyFont="1" applyFill="1" applyBorder="1"/>
    <xf numFmtId="169" fontId="32" fillId="7" borderId="10" xfId="0" applyNumberFormat="1" applyFont="1" applyFill="1" applyBorder="1"/>
    <xf numFmtId="9" fontId="32" fillId="7" borderId="15" xfId="2" applyFont="1" applyFill="1" applyBorder="1"/>
    <xf numFmtId="2" fontId="32" fillId="7" borderId="11" xfId="0" applyNumberFormat="1" applyFont="1" applyFill="1" applyBorder="1"/>
    <xf numFmtId="169" fontId="32" fillId="3" borderId="10" xfId="0" applyNumberFormat="1" applyFont="1" applyFill="1" applyBorder="1"/>
    <xf numFmtId="169" fontId="32" fillId="3" borderId="11" xfId="0" applyNumberFormat="1" applyFont="1" applyFill="1" applyBorder="1"/>
    <xf numFmtId="169" fontId="27" fillId="9" borderId="9" xfId="0" applyNumberFormat="1" applyFont="1" applyFill="1" applyBorder="1"/>
    <xf numFmtId="164" fontId="32" fillId="0" borderId="9" xfId="1" applyFont="1" applyFill="1" applyBorder="1"/>
    <xf numFmtId="9" fontId="32" fillId="0" borderId="9" xfId="2" applyFont="1" applyFill="1" applyBorder="1"/>
    <xf numFmtId="164" fontId="32" fillId="0" borderId="9" xfId="1" applyFont="1" applyBorder="1"/>
    <xf numFmtId="171" fontId="32" fillId="0" borderId="9" xfId="1" applyNumberFormat="1" applyFont="1" applyBorder="1"/>
    <xf numFmtId="171" fontId="32" fillId="0" borderId="9" xfId="1" applyNumberFormat="1" applyFont="1" applyFill="1" applyBorder="1"/>
    <xf numFmtId="171" fontId="32" fillId="0" borderId="9" xfId="1" applyNumberFormat="1" applyFont="1" applyFill="1" applyBorder="1" applyAlignment="1">
      <alignment horizontal="right"/>
    </xf>
    <xf numFmtId="164" fontId="5" fillId="0" borderId="9" xfId="1" applyFont="1" applyFill="1" applyBorder="1"/>
    <xf numFmtId="9" fontId="5" fillId="0" borderId="9" xfId="2" applyFont="1" applyFill="1" applyBorder="1"/>
    <xf numFmtId="164" fontId="5" fillId="0" borderId="9" xfId="1" applyFont="1" applyBorder="1"/>
    <xf numFmtId="171" fontId="5" fillId="0" borderId="9" xfId="1" applyNumberFormat="1" applyFont="1" applyFill="1" applyBorder="1"/>
    <xf numFmtId="171" fontId="5" fillId="0" borderId="9" xfId="1" applyNumberFormat="1" applyFont="1" applyFill="1" applyBorder="1" applyAlignment="1">
      <alignment horizontal="right"/>
    </xf>
    <xf numFmtId="167" fontId="32" fillId="0" borderId="0" xfId="2" applyNumberFormat="1" applyFont="1" applyFill="1" applyAlignment="1">
      <alignment horizontal="right"/>
    </xf>
    <xf numFmtId="0" fontId="38" fillId="5" borderId="0" xfId="0" applyFont="1" applyFill="1"/>
    <xf numFmtId="0" fontId="37" fillId="4" borderId="0" xfId="0" applyFont="1" applyFill="1"/>
    <xf numFmtId="0" fontId="38" fillId="5" borderId="2" xfId="0" applyFont="1" applyFill="1" applyBorder="1" applyAlignment="1">
      <alignment horizontal="left"/>
    </xf>
    <xf numFmtId="0" fontId="32" fillId="0" borderId="0" xfId="0" applyFont="1" applyAlignment="1">
      <alignment horizontal="right"/>
    </xf>
    <xf numFmtId="169" fontId="32" fillId="0" borderId="0" xfId="0" applyNumberFormat="1" applyFont="1" applyAlignment="1">
      <alignment horizontal="right"/>
    </xf>
    <xf numFmtId="168" fontId="27" fillId="0" borderId="2" xfId="0" applyNumberFormat="1" applyFont="1" applyBorder="1"/>
    <xf numFmtId="171" fontId="32" fillId="0" borderId="0" xfId="1" applyNumberFormat="1" applyFont="1" applyFill="1" applyBorder="1"/>
    <xf numFmtId="0" fontId="27" fillId="0" borderId="2" xfId="0" applyFont="1" applyBorder="1" applyAlignment="1">
      <alignment horizontal="left"/>
    </xf>
    <xf numFmtId="167" fontId="32" fillId="0" borderId="2" xfId="0" applyNumberFormat="1" applyFont="1" applyBorder="1"/>
    <xf numFmtId="0" fontId="32" fillId="0" borderId="1" xfId="0" applyFont="1" applyBorder="1" applyAlignment="1">
      <alignment horizontal="right"/>
    </xf>
    <xf numFmtId="0" fontId="32" fillId="0" borderId="1" xfId="0" applyFont="1" applyBorder="1"/>
    <xf numFmtId="0" fontId="32" fillId="7" borderId="4" xfId="0" applyFont="1" applyFill="1" applyBorder="1"/>
    <xf numFmtId="0" fontId="32" fillId="0" borderId="9" xfId="0" applyFont="1" applyBorder="1"/>
    <xf numFmtId="9" fontId="32" fillId="0" borderId="9" xfId="0" applyNumberFormat="1" applyFont="1" applyBorder="1"/>
    <xf numFmtId="167" fontId="32" fillId="0" borderId="9" xfId="1" applyNumberFormat="1" applyFont="1" applyBorder="1"/>
    <xf numFmtId="166" fontId="32" fillId="0" borderId="9" xfId="2" applyNumberFormat="1" applyFont="1" applyBorder="1"/>
    <xf numFmtId="170" fontId="32" fillId="0" borderId="9" xfId="0" applyNumberFormat="1" applyFont="1" applyBorder="1"/>
    <xf numFmtId="167" fontId="32" fillId="0" borderId="9" xfId="0" applyNumberFormat="1" applyFont="1" applyBorder="1"/>
    <xf numFmtId="9" fontId="32" fillId="7" borderId="15" xfId="0" applyNumberFormat="1" applyFont="1" applyFill="1" applyBorder="1"/>
    <xf numFmtId="0" fontId="32" fillId="7" borderId="6" xfId="0" applyFont="1" applyFill="1" applyBorder="1"/>
    <xf numFmtId="2" fontId="32" fillId="7" borderId="11" xfId="0" applyNumberFormat="1" applyFont="1" applyFill="1" applyBorder="1" applyAlignment="1">
      <alignment horizontal="right"/>
    </xf>
    <xf numFmtId="0" fontId="32" fillId="7" borderId="8" xfId="0" applyFont="1" applyFill="1" applyBorder="1"/>
    <xf numFmtId="0" fontId="32" fillId="3" borderId="4" xfId="0" applyFont="1" applyFill="1" applyBorder="1"/>
    <xf numFmtId="0" fontId="32" fillId="3" borderId="8" xfId="0" applyFont="1" applyFill="1" applyBorder="1"/>
    <xf numFmtId="0" fontId="28" fillId="4" borderId="9" xfId="0" applyFont="1" applyFill="1" applyBorder="1" applyAlignment="1">
      <alignment horizontal="center" vertical="center"/>
    </xf>
    <xf numFmtId="173" fontId="32" fillId="0" borderId="0" xfId="1" applyNumberFormat="1" applyFont="1" applyFill="1" applyAlignment="1">
      <alignment horizontal="right"/>
    </xf>
    <xf numFmtId="169" fontId="32" fillId="0" borderId="2" xfId="0" applyNumberFormat="1" applyFont="1" applyBorder="1"/>
    <xf numFmtId="0" fontId="12" fillId="0" borderId="0" xfId="3" applyAlignment="1">
      <alignment vertical="top" wrapText="1"/>
    </xf>
    <xf numFmtId="0" fontId="17" fillId="0" borderId="0" xfId="0" applyFont="1" applyAlignment="1">
      <alignment vertical="top"/>
    </xf>
    <xf numFmtId="0" fontId="41" fillId="0" borderId="0" xfId="3" applyFont="1" applyAlignment="1">
      <alignment vertical="top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167" fontId="27" fillId="0" borderId="0" xfId="0" applyNumberFormat="1" applyFont="1" applyAlignment="1">
      <alignment horizontal="left" vertical="center"/>
    </xf>
    <xf numFmtId="0" fontId="14" fillId="0" borderId="0" xfId="0" applyFont="1" applyAlignment="1">
      <alignment vertical="center"/>
    </xf>
    <xf numFmtId="9" fontId="27" fillId="10" borderId="9" xfId="0" applyNumberFormat="1" applyFont="1" applyFill="1" applyBorder="1" applyAlignment="1">
      <alignment horizontal="left" vertical="center"/>
    </xf>
    <xf numFmtId="10" fontId="27" fillId="10" borderId="9" xfId="0" applyNumberFormat="1" applyFont="1" applyFill="1" applyBorder="1" applyAlignment="1">
      <alignment horizontal="left" vertical="center"/>
    </xf>
    <xf numFmtId="0" fontId="2" fillId="10" borderId="2" xfId="0" applyFont="1" applyFill="1" applyBorder="1"/>
    <xf numFmtId="4" fontId="2" fillId="10" borderId="2" xfId="0" applyNumberFormat="1" applyFont="1" applyFill="1" applyBorder="1"/>
    <xf numFmtId="0" fontId="27" fillId="10" borderId="2" xfId="0" applyFont="1" applyFill="1" applyBorder="1" applyAlignment="1">
      <alignment horizontal="left"/>
    </xf>
    <xf numFmtId="0" fontId="36" fillId="10" borderId="2" xfId="0" applyFont="1" applyFill="1" applyBorder="1"/>
    <xf numFmtId="2" fontId="2" fillId="10" borderId="2" xfId="0" applyNumberFormat="1" applyFont="1" applyFill="1" applyBorder="1"/>
    <xf numFmtId="0" fontId="34" fillId="4" borderId="0" xfId="0" applyFont="1" applyFill="1" applyAlignment="1">
      <alignment horizontal="center" vertical="center"/>
    </xf>
    <xf numFmtId="0" fontId="35" fillId="4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horizontal="left" vertical="center" wrapText="1"/>
    </xf>
    <xf numFmtId="0" fontId="23" fillId="4" borderId="9" xfId="0" applyFont="1" applyFill="1" applyBorder="1" applyAlignment="1">
      <alignment horizontal="center" vertical="center"/>
    </xf>
    <xf numFmtId="0" fontId="27" fillId="10" borderId="3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27" fillId="10" borderId="4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3" fontId="27" fillId="10" borderId="9" xfId="0" applyNumberFormat="1" applyFont="1" applyFill="1" applyBorder="1" applyAlignment="1">
      <alignment horizontal="left" vertical="center"/>
    </xf>
    <xf numFmtId="0" fontId="28" fillId="10" borderId="10" xfId="0" applyFont="1" applyFill="1" applyBorder="1" applyAlignment="1">
      <alignment horizontal="center" vertical="center"/>
    </xf>
    <xf numFmtId="0" fontId="28" fillId="10" borderId="11" xfId="0" applyFont="1" applyFill="1" applyBorder="1" applyAlignment="1">
      <alignment horizontal="center" vertical="center"/>
    </xf>
    <xf numFmtId="0" fontId="20" fillId="4" borderId="13" xfId="0" applyFont="1" applyFill="1" applyBorder="1" applyAlignment="1">
      <alignment horizontal="center" vertical="center"/>
    </xf>
    <xf numFmtId="0" fontId="20" fillId="4" borderId="12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2" fillId="0" borderId="13" xfId="0" applyFont="1" applyBorder="1" applyAlignment="1">
      <alignment horizontal="left"/>
    </xf>
    <xf numFmtId="0" fontId="32" fillId="0" borderId="14" xfId="0" applyFont="1" applyBorder="1" applyAlignment="1">
      <alignment horizontal="left"/>
    </xf>
    <xf numFmtId="0" fontId="37" fillId="4" borderId="13" xfId="0" applyFont="1" applyFill="1" applyBorder="1" applyAlignment="1">
      <alignment horizontal="center"/>
    </xf>
    <xf numFmtId="0" fontId="37" fillId="4" borderId="12" xfId="0" applyFont="1" applyFill="1" applyBorder="1" applyAlignment="1">
      <alignment horizontal="center"/>
    </xf>
    <xf numFmtId="0" fontId="37" fillId="4" borderId="14" xfId="0" applyFont="1" applyFill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7" fillId="0" borderId="12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37" fillId="4" borderId="9" xfId="0" applyFont="1" applyFill="1" applyBorder="1" applyAlignment="1">
      <alignment horizontal="center"/>
    </xf>
    <xf numFmtId="166" fontId="5" fillId="0" borderId="13" xfId="2" applyNumberFormat="1" applyFont="1" applyBorder="1" applyAlignment="1">
      <alignment horizontal="left"/>
    </xf>
    <xf numFmtId="166" fontId="5" fillId="0" borderId="14" xfId="2" applyNumberFormat="1" applyFont="1" applyBorder="1" applyAlignment="1">
      <alignment horizontal="left"/>
    </xf>
    <xf numFmtId="10" fontId="5" fillId="0" borderId="13" xfId="2" applyNumberFormat="1" applyFont="1" applyFill="1" applyBorder="1" applyAlignment="1">
      <alignment horizontal="left"/>
    </xf>
    <xf numFmtId="10" fontId="5" fillId="0" borderId="14" xfId="2" applyNumberFormat="1" applyFont="1" applyFill="1" applyBorder="1" applyAlignment="1">
      <alignment horizontal="left"/>
    </xf>
    <xf numFmtId="166" fontId="32" fillId="0" borderId="13" xfId="2" applyNumberFormat="1" applyFont="1" applyBorder="1" applyAlignment="1">
      <alignment horizontal="left"/>
    </xf>
    <xf numFmtId="166" fontId="32" fillId="0" borderId="14" xfId="2" applyNumberFormat="1" applyFont="1" applyBorder="1" applyAlignment="1">
      <alignment horizontal="left"/>
    </xf>
    <xf numFmtId="10" fontId="32" fillId="0" borderId="13" xfId="2" applyNumberFormat="1" applyFont="1" applyFill="1" applyBorder="1" applyAlignment="1">
      <alignment horizontal="left"/>
    </xf>
    <xf numFmtId="10" fontId="32" fillId="0" borderId="14" xfId="2" applyNumberFormat="1" applyFont="1" applyFill="1" applyBorder="1" applyAlignment="1">
      <alignment horizontal="left"/>
    </xf>
    <xf numFmtId="0" fontId="37" fillId="4" borderId="13" xfId="0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9" fontId="32" fillId="10" borderId="9" xfId="2" applyFont="1" applyFill="1" applyBorder="1" applyAlignment="1">
      <alignment horizontal="left" vertical="center" wrapText="1"/>
    </xf>
  </cellXfs>
  <cellStyles count="4">
    <cellStyle name="Comma" xfId="1" builtinId="3"/>
    <cellStyle name="Hyperlink" xfId="3" builtinId="8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87271</xdr:colOff>
      <xdr:row>2</xdr:row>
      <xdr:rowOff>185048</xdr:rowOff>
    </xdr:from>
    <xdr:to>
      <xdr:col>12</xdr:col>
      <xdr:colOff>375387</xdr:colOff>
      <xdr:row>60</xdr:row>
      <xdr:rowOff>162683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80DA378-91A2-F43F-9990-D8C0CDED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-1474970" y="2128952"/>
          <a:ext cx="11045850" cy="7921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421947</xdr:colOff>
      <xdr:row>2</xdr:row>
      <xdr:rowOff>180281</xdr:rowOff>
    </xdr:from>
    <xdr:to>
      <xdr:col>24</xdr:col>
      <xdr:colOff>312460</xdr:colOff>
      <xdr:row>60</xdr:row>
      <xdr:rowOff>165940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99AFB4-2B69-1366-65BF-810BCA497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6200000">
          <a:off x="6209940" y="2412734"/>
          <a:ext cx="11214283" cy="752376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567950</xdr:colOff>
      <xdr:row>3</xdr:row>
      <xdr:rowOff>147666</xdr:rowOff>
    </xdr:from>
    <xdr:to>
      <xdr:col>8</xdr:col>
      <xdr:colOff>22720</xdr:colOff>
      <xdr:row>5</xdr:row>
      <xdr:rowOff>90872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02B7A24-27D7-935C-EF21-5BD814DE7AC6}"/>
            </a:ext>
          </a:extLst>
        </xdr:cNvPr>
        <xdr:cNvSpPr txBox="1"/>
      </xdr:nvSpPr>
      <xdr:spPr>
        <a:xfrm>
          <a:off x="3112367" y="726976"/>
          <a:ext cx="1999187" cy="329412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1">
              <a:solidFill>
                <a:schemeClr val="accent1">
                  <a:lumMod val="75000"/>
                </a:schemeClr>
              </a:solidFill>
              <a:latin typeface="Candara" panose="020E0502030303020204" pitchFamily="34" charset="0"/>
            </a:rPr>
            <a:t>Project</a:t>
          </a:r>
          <a:r>
            <a:rPr lang="en-GB" sz="1400" b="1" baseline="0">
              <a:solidFill>
                <a:schemeClr val="accent1">
                  <a:lumMod val="75000"/>
                </a:schemeClr>
              </a:solidFill>
              <a:latin typeface="Candara" panose="020E0502030303020204" pitchFamily="34" charset="0"/>
            </a:rPr>
            <a:t>: North Facing</a:t>
          </a:r>
          <a:endParaRPr lang="en-GB" sz="1400" b="1">
            <a:solidFill>
              <a:schemeClr val="accent1">
                <a:lumMod val="75000"/>
              </a:schemeClr>
            </a:solidFill>
            <a:latin typeface="Candara" panose="020E0502030303020204" pitchFamily="34" charset="0"/>
          </a:endParaRPr>
        </a:p>
      </xdr:txBody>
    </xdr:sp>
    <xdr:clientData/>
  </xdr:twoCellAnchor>
  <xdr:twoCellAnchor>
    <xdr:from>
      <xdr:col>17</xdr:col>
      <xdr:colOff>27450</xdr:colOff>
      <xdr:row>3</xdr:row>
      <xdr:rowOff>141040</xdr:rowOff>
    </xdr:from>
    <xdr:to>
      <xdr:col>20</xdr:col>
      <xdr:colOff>118324</xdr:colOff>
      <xdr:row>5</xdr:row>
      <xdr:rowOff>84246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A9022DE-55D5-4411-8E27-B1258B812665}"/>
            </a:ext>
          </a:extLst>
        </xdr:cNvPr>
        <xdr:cNvSpPr txBox="1"/>
      </xdr:nvSpPr>
      <xdr:spPr>
        <a:xfrm>
          <a:off x="10841224" y="720350"/>
          <a:ext cx="1999187" cy="329412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 b="1">
              <a:solidFill>
                <a:schemeClr val="accent1">
                  <a:lumMod val="75000"/>
                </a:schemeClr>
              </a:solidFill>
              <a:latin typeface="Candara" panose="020E0502030303020204" pitchFamily="34" charset="0"/>
            </a:rPr>
            <a:t>Project</a:t>
          </a:r>
          <a:r>
            <a:rPr lang="en-GB" sz="1400" b="1" baseline="0">
              <a:solidFill>
                <a:schemeClr val="accent1">
                  <a:lumMod val="75000"/>
                </a:schemeClr>
              </a:solidFill>
              <a:latin typeface="Candara" panose="020E0502030303020204" pitchFamily="34" charset="0"/>
            </a:rPr>
            <a:t>: North Facing</a:t>
          </a:r>
          <a:endParaRPr lang="en-GB" sz="1400" b="1">
            <a:solidFill>
              <a:schemeClr val="accent1">
                <a:lumMod val="75000"/>
              </a:schemeClr>
            </a:solidFill>
            <a:latin typeface="Candara" panose="020E0502030303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67825</xdr:colOff>
      <xdr:row>13</xdr:row>
      <xdr:rowOff>9985</xdr:rowOff>
    </xdr:from>
    <xdr:ext cx="899029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8DF043A-67E5-425B-AC31-744DAF25C623}"/>
                </a:ext>
              </a:extLst>
            </xdr:cNvPr>
            <xdr:cNvSpPr txBox="1"/>
          </xdr:nvSpPr>
          <xdr:spPr>
            <a:xfrm>
              <a:off x="8337181" y="2956645"/>
              <a:ext cx="89902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+mn-lt"/>
                </a:rPr>
                <a:t>P</a:t>
              </a:r>
              <a14:m>
                <m:oMath xmlns:m="http://schemas.openxmlformats.org/officeDocument/2006/math">
                  <m:r>
                    <a:rPr lang="en-GB" sz="1100" i="1">
                      <a:latin typeface="Cambria Math" panose="02040503050406030204" pitchFamily="18" charset="0"/>
                    </a:rPr>
                    <m:t>=</m:t>
                  </m:r>
                  <m:r>
                    <m:rPr>
                      <m:sty m:val="p"/>
                    </m:rPr>
                    <a:rPr lang="el-GR" sz="1100" b="0" i="1">
                      <a:latin typeface="Cambria Math" panose="02040503050406030204" pitchFamily="18" charset="0"/>
                    </a:rPr>
                    <m:t>ρ</m:t>
                  </m:r>
                  <m:r>
                    <a:rPr lang="en-US" sz="1100" b="0" i="1">
                      <a:latin typeface="Cambria Math" panose="02040503050406030204" pitchFamily="18" charset="0"/>
                    </a:rPr>
                    <m:t>.</m:t>
                  </m:r>
                  <m:r>
                    <a:rPr lang="en-US" sz="1100" b="0" i="1">
                      <a:latin typeface="Cambria Math" panose="02040503050406030204" pitchFamily="18" charset="0"/>
                    </a:rPr>
                    <m:t>𝑔</m:t>
                  </m:r>
                  <m:r>
                    <a:rPr lang="en-US" sz="1100" b="0" i="1">
                      <a:latin typeface="Cambria Math" panose="02040503050406030204" pitchFamily="18" charset="0"/>
                    </a:rPr>
                    <m:t>.</m:t>
                  </m:r>
                  <m:r>
                    <a:rPr lang="en-US" sz="1100" b="0" i="1">
                      <a:latin typeface="Cambria Math" panose="02040503050406030204" pitchFamily="18" charset="0"/>
                    </a:rPr>
                    <m:t>𝑉</m:t>
                  </m:r>
                  <m:r>
                    <a:rPr lang="en-US" sz="1100" b="0" i="1">
                      <a:latin typeface="Cambria Math" panose="02040503050406030204" pitchFamily="18" charset="0"/>
                    </a:rPr>
                    <m:t>.</m:t>
                  </m:r>
                  <m:r>
                    <a:rPr lang="en-US" sz="1100" b="0" i="1">
                      <a:latin typeface="Cambria Math" panose="02040503050406030204" pitchFamily="18" charset="0"/>
                    </a:rPr>
                    <m:t>𝐻</m:t>
                  </m:r>
                  <m:r>
                    <a:rPr lang="en-US" sz="1100" b="0" i="1">
                      <a:latin typeface="Cambria Math" panose="02040503050406030204" pitchFamily="18" charset="0"/>
                    </a:rPr>
                    <m:t>.ƞ </m:t>
                  </m:r>
                </m:oMath>
              </a14:m>
              <a:endParaRPr lang="en-GB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28DF043A-67E5-425B-AC31-744DAF25C623}"/>
                </a:ext>
              </a:extLst>
            </xdr:cNvPr>
            <xdr:cNvSpPr txBox="1"/>
          </xdr:nvSpPr>
          <xdr:spPr>
            <a:xfrm>
              <a:off x="8337181" y="2956645"/>
              <a:ext cx="899029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i="0">
                  <a:latin typeface="+mn-lt"/>
                </a:rPr>
                <a:t>P</a:t>
              </a:r>
              <a:r>
                <a:rPr lang="en-GB" sz="1100" i="0">
                  <a:latin typeface="Cambria Math" panose="02040503050406030204" pitchFamily="18" charset="0"/>
                </a:rPr>
                <a:t>=</a:t>
              </a:r>
              <a:r>
                <a:rPr lang="el-GR" sz="1100" b="0" i="0">
                  <a:latin typeface="Cambria Math" panose="02040503050406030204" pitchFamily="18" charset="0"/>
                </a:rPr>
                <a:t>ρ</a:t>
              </a:r>
              <a:r>
                <a:rPr lang="en-US" sz="1100" b="0" i="0">
                  <a:latin typeface="Cambria Math" panose="02040503050406030204" pitchFamily="18" charset="0"/>
                </a:rPr>
                <a:t>.𝑔.𝑉.𝐻.ƞ 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10</xdr:col>
      <xdr:colOff>7950</xdr:colOff>
      <xdr:row>14</xdr:row>
      <xdr:rowOff>0</xdr:rowOff>
    </xdr:from>
    <xdr:ext cx="119045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C84E11A-4535-4CD1-A7EE-CB0D812BF5A4}"/>
                </a:ext>
              </a:extLst>
            </xdr:cNvPr>
            <xdr:cNvSpPr txBox="1"/>
          </xdr:nvSpPr>
          <xdr:spPr>
            <a:xfrm>
              <a:off x="17802969" y="1033670"/>
              <a:ext cx="11904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US" sz="1100" b="0" i="0">
                        <a:latin typeface="Cambria Math" panose="02040503050406030204" pitchFamily="18" charset="0"/>
                      </a:rPr>
                      <m:t>Q</m:t>
                    </m:r>
                    <m:r>
                      <a:rPr lang="en-GB" sz="110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𝑃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/</m:t>
                    </m:r>
                    <m:r>
                      <m:rPr>
                        <m:sty m:val="p"/>
                      </m:rPr>
                      <a:rPr lang="el-GR" sz="1100" b="0" i="1">
                        <a:latin typeface="Cambria Math" panose="02040503050406030204" pitchFamily="18" charset="0"/>
                      </a:rPr>
                      <m:t>ρ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.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𝑔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.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.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𝐻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.ƞ </m:t>
                    </m:r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AC84E11A-4535-4CD1-A7EE-CB0D812BF5A4}"/>
                </a:ext>
              </a:extLst>
            </xdr:cNvPr>
            <xdr:cNvSpPr txBox="1"/>
          </xdr:nvSpPr>
          <xdr:spPr>
            <a:xfrm>
              <a:off x="17802969" y="1033670"/>
              <a:ext cx="119045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Q</a:t>
              </a:r>
              <a:r>
                <a:rPr lang="en-GB" sz="1100" i="0">
                  <a:latin typeface="Cambria Math" panose="02040503050406030204" pitchFamily="18" charset="0"/>
                </a:rPr>
                <a:t>=</a:t>
              </a:r>
              <a:r>
                <a:rPr lang="en-US" sz="1100" b="0" i="0">
                  <a:latin typeface="Cambria Math" panose="02040503050406030204" pitchFamily="18" charset="0"/>
                </a:rPr>
                <a:t>𝑃/</a:t>
              </a:r>
              <a:r>
                <a:rPr lang="el-GR" sz="1100" b="0" i="0">
                  <a:latin typeface="Cambria Math" panose="02040503050406030204" pitchFamily="18" charset="0"/>
                </a:rPr>
                <a:t>ρ</a:t>
              </a:r>
              <a:r>
                <a:rPr lang="en-US" sz="1100" b="0" i="0">
                  <a:latin typeface="Cambria Math" panose="02040503050406030204" pitchFamily="18" charset="0"/>
                </a:rPr>
                <a:t>.𝑔.𝑉.𝐻.ƞ 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ocs.nrel.gov/docs/fy24osti/87698.pdf" TargetMode="External"/><Relationship Id="rId1" Type="http://schemas.openxmlformats.org/officeDocument/2006/relationships/hyperlink" Target="https://docs.nrel.gov/docs/fy24osti/87698.pdf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hyperlink" Target="https://docs.nrel.gov/docs/fy24osti/87698.pdf" TargetMode="External"/><Relationship Id="rId1" Type="http://schemas.openxmlformats.org/officeDocument/2006/relationships/hyperlink" Target="https://docs.nrel.gov/docs/fy24osti/87698.pdf" TargetMode="External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atb.nrel.gov/electricity/2024/pumped_storage_hydropower" TargetMode="External"/><Relationship Id="rId1" Type="http://schemas.openxmlformats.org/officeDocument/2006/relationships/hyperlink" Target="https://atb.nrel.gov/electricity/2024/pumped_storage_hydropower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atb.nrel.gov/electricity/2024/pumped_storage_hydropower" TargetMode="External"/><Relationship Id="rId1" Type="http://schemas.openxmlformats.org/officeDocument/2006/relationships/hyperlink" Target="https://atb.nrel.gov/electricity/2024/pumped_storage_hydropower" TargetMode="Externa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C0C89-EFBB-4C85-9F4A-C5882EC9D354}">
  <sheetPr>
    <tabColor rgb="FF00B050"/>
  </sheetPr>
  <dimension ref="A1:M25"/>
  <sheetViews>
    <sheetView showGridLines="0" tabSelected="1" workbookViewId="0">
      <selection activeCell="A6" sqref="A6"/>
    </sheetView>
  </sheetViews>
  <sheetFormatPr baseColWidth="10" defaultColWidth="8.83203125" defaultRowHeight="15" x14ac:dyDescent="0.2"/>
  <cols>
    <col min="1" max="1" width="5.5" customWidth="1"/>
    <col min="2" max="2" width="18.5" customWidth="1"/>
  </cols>
  <sheetData>
    <row r="1" spans="1:13" ht="15" customHeight="1" x14ac:dyDescent="0.2">
      <c r="A1" s="304" t="s">
        <v>265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</row>
    <row r="2" spans="1:13" ht="15" customHeight="1" x14ac:dyDescent="0.2">
      <c r="A2" s="304"/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</row>
    <row r="3" spans="1:13" ht="15" customHeight="1" x14ac:dyDescent="0.2">
      <c r="A3" s="305" t="s">
        <v>387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</row>
    <row r="4" spans="1:13" ht="15" customHeight="1" x14ac:dyDescent="0.2">
      <c r="A4" s="305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</row>
    <row r="5" spans="1:13" x14ac:dyDescent="0.2">
      <c r="A5" s="305"/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</row>
    <row r="6" spans="1:13" x14ac:dyDescent="0.2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3" ht="16" x14ac:dyDescent="0.2">
      <c r="A7">
        <v>1</v>
      </c>
      <c r="B7" s="289" t="s">
        <v>378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3" x14ac:dyDescent="0.2">
      <c r="B8" s="291" t="s">
        <v>384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</row>
    <row r="9" spans="1:13" ht="16" x14ac:dyDescent="0.2">
      <c r="A9">
        <v>2</v>
      </c>
      <c r="B9" s="289" t="s">
        <v>377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</row>
    <row r="10" spans="1:13" x14ac:dyDescent="0.2">
      <c r="B10" s="290" t="s">
        <v>383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</row>
    <row r="11" spans="1:13" ht="16" x14ac:dyDescent="0.2">
      <c r="A11">
        <v>3</v>
      </c>
      <c r="B11" s="289" t="s">
        <v>379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</row>
    <row r="12" spans="1:13" x14ac:dyDescent="0.2">
      <c r="B12" s="84" t="s">
        <v>268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</row>
    <row r="13" spans="1:13" ht="16" x14ac:dyDescent="0.2">
      <c r="A13">
        <v>4</v>
      </c>
      <c r="B13" s="289" t="s">
        <v>380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3" x14ac:dyDescent="0.2">
      <c r="B14" s="84" t="s">
        <v>269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3" ht="16" x14ac:dyDescent="0.2">
      <c r="A15">
        <v>5</v>
      </c>
      <c r="B15" s="289" t="s">
        <v>381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 spans="1:13" x14ac:dyDescent="0.2">
      <c r="B16" s="84" t="s">
        <v>266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</row>
    <row r="17" spans="1:13" ht="16" x14ac:dyDescent="0.2">
      <c r="A17">
        <v>6</v>
      </c>
      <c r="B17" s="289" t="s">
        <v>372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</row>
    <row r="18" spans="1:13" x14ac:dyDescent="0.2">
      <c r="B18" s="84" t="s">
        <v>266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spans="1:13" ht="16" x14ac:dyDescent="0.2">
      <c r="A19">
        <v>7</v>
      </c>
      <c r="B19" s="289" t="s">
        <v>382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</row>
    <row r="20" spans="1:13" x14ac:dyDescent="0.2">
      <c r="B20" s="84" t="s">
        <v>277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3" ht="16" x14ac:dyDescent="0.2">
      <c r="A21">
        <v>8</v>
      </c>
      <c r="B21" s="289" t="s">
        <v>263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</row>
    <row r="22" spans="1:13" x14ac:dyDescent="0.2">
      <c r="B22" s="84" t="s">
        <v>267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</row>
    <row r="23" spans="1:13" ht="16" x14ac:dyDescent="0.2">
      <c r="A23">
        <v>9</v>
      </c>
      <c r="B23" s="289" t="s">
        <v>264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</row>
    <row r="24" spans="1:13" x14ac:dyDescent="0.2">
      <c r="B24" s="84" t="s">
        <v>267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</row>
    <row r="25" spans="1:13" x14ac:dyDescent="0.2"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</row>
  </sheetData>
  <mergeCells count="2">
    <mergeCell ref="A1:L2"/>
    <mergeCell ref="A3:L5"/>
  </mergeCells>
  <hyperlinks>
    <hyperlink ref="B9" location="'FPV array modelling'!A1" display="FPV Array Modelling" xr:uid="{2CE919B5-A909-4759-9448-ACA686F2CB1F}"/>
    <hyperlink ref="B7" location="'Literature review'!A1" display="Literature Review" xr:uid="{895132E1-1FAE-4BC2-BAF8-01BFFB1E7114}"/>
    <hyperlink ref="B11" location="'FPV Tech analysis'!A1" display="FPV Tech. Analysis" xr:uid="{FD223D93-8556-4D37-8A41-61C427A4A59A}"/>
    <hyperlink ref="B13" location="'PHS Tech analysis'!A1" display="PHS Tech. Analysis" xr:uid="{910BBBD0-052E-4723-8303-1355F3ED5766}"/>
    <hyperlink ref="B15" location="'FPV 60 Years'!A1" display="FPV 60 Years" xr:uid="{59B265AA-1385-4DEE-808C-2CDC8FF42D1E}"/>
    <hyperlink ref="B17" location="'Scenario 1'!A1" display="Scenario 1" xr:uid="{999B35A4-F269-41BA-8EB5-BD65C2B866AC}"/>
    <hyperlink ref="B19" location="'Scenario 2'!A1" display="Scenario 2" xr:uid="{A17E77EF-AF4B-4074-A093-9DD29C2C4D24}"/>
    <hyperlink ref="B21" location="'FPV Sensitivity'!A1" display="FPV Sensitivity" xr:uid="{C044D88F-5EF8-407B-9976-C4FF80B4950D}"/>
    <hyperlink ref="B23" location="'PSH Sensitivity'!A1" display="PSH Sensitivity" xr:uid="{82EF04E3-4AFC-4226-B930-8246D5CBC1C2}"/>
  </hyperlink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9901-CC44-4ADC-8E93-4B029CE1D54D}">
  <dimension ref="A1:F17"/>
  <sheetViews>
    <sheetView showGridLines="0" zoomScale="85" zoomScaleNormal="85" workbookViewId="0"/>
  </sheetViews>
  <sheetFormatPr baseColWidth="10" defaultColWidth="8.83203125" defaultRowHeight="15" x14ac:dyDescent="0.2"/>
  <cols>
    <col min="1" max="1" width="16.33203125" style="93" bestFit="1" customWidth="1"/>
    <col min="2" max="2" width="32" style="93" bestFit="1" customWidth="1"/>
    <col min="3" max="3" width="8.1640625" style="112" customWidth="1"/>
    <col min="4" max="4" width="7" style="112" bestFit="1" customWidth="1"/>
    <col min="5" max="5" width="9.5" style="112" customWidth="1"/>
    <col min="6" max="6" width="38" style="93" bestFit="1" customWidth="1"/>
    <col min="7" max="16384" width="8.83203125" style="93"/>
  </cols>
  <sheetData>
    <row r="1" spans="1:6" x14ac:dyDescent="0.2">
      <c r="A1" s="96" t="s">
        <v>370</v>
      </c>
    </row>
    <row r="2" spans="1:6" x14ac:dyDescent="0.2">
      <c r="A2" s="97" t="s">
        <v>371</v>
      </c>
    </row>
    <row r="3" spans="1:6" x14ac:dyDescent="0.2">
      <c r="A3" s="97"/>
    </row>
    <row r="4" spans="1:6" x14ac:dyDescent="0.2">
      <c r="A4" s="96" t="s">
        <v>142</v>
      </c>
    </row>
    <row r="5" spans="1:6" ht="30" customHeight="1" x14ac:dyDescent="0.2">
      <c r="A5" s="155" t="s">
        <v>372</v>
      </c>
      <c r="B5" s="155" t="s">
        <v>144</v>
      </c>
      <c r="C5" s="156" t="s">
        <v>131</v>
      </c>
      <c r="D5" s="156" t="s">
        <v>80</v>
      </c>
      <c r="E5" s="156" t="s">
        <v>149</v>
      </c>
      <c r="F5" s="155" t="s">
        <v>143</v>
      </c>
    </row>
    <row r="6" spans="1:6" ht="26" customHeight="1" x14ac:dyDescent="0.2">
      <c r="A6" s="154" t="s">
        <v>95</v>
      </c>
      <c r="B6" s="147" t="s">
        <v>96</v>
      </c>
      <c r="C6" s="157">
        <v>22.05</v>
      </c>
      <c r="D6" s="157">
        <v>5</v>
      </c>
      <c r="E6" s="158">
        <v>0.15</v>
      </c>
      <c r="F6" s="147" t="s">
        <v>97</v>
      </c>
    </row>
    <row r="7" spans="1:6" ht="26" customHeight="1" x14ac:dyDescent="0.2">
      <c r="A7" s="154" t="s">
        <v>98</v>
      </c>
      <c r="B7" s="147" t="s">
        <v>99</v>
      </c>
      <c r="C7" s="157">
        <v>27.5</v>
      </c>
      <c r="D7" s="157">
        <v>7</v>
      </c>
      <c r="E7" s="158">
        <v>0.15</v>
      </c>
      <c r="F7" s="147" t="s">
        <v>100</v>
      </c>
    </row>
    <row r="8" spans="1:6" ht="26" customHeight="1" x14ac:dyDescent="0.2">
      <c r="A8" s="154" t="s">
        <v>101</v>
      </c>
      <c r="B8" s="147" t="s">
        <v>102</v>
      </c>
      <c r="C8" s="157">
        <v>16.5</v>
      </c>
      <c r="D8" s="157">
        <v>3</v>
      </c>
      <c r="E8" s="158">
        <v>0.15</v>
      </c>
      <c r="F8" s="147" t="s">
        <v>103</v>
      </c>
    </row>
    <row r="9" spans="1:6" ht="26" customHeight="1" x14ac:dyDescent="0.2">
      <c r="A9" s="154" t="s">
        <v>104</v>
      </c>
      <c r="B9" s="147" t="s">
        <v>105</v>
      </c>
      <c r="C9" s="157">
        <v>24.9</v>
      </c>
      <c r="D9" s="157">
        <v>4</v>
      </c>
      <c r="E9" s="158">
        <v>0.17</v>
      </c>
      <c r="F9" s="147" t="s">
        <v>106</v>
      </c>
    </row>
    <row r="10" spans="1:6" ht="26" customHeight="1" x14ac:dyDescent="0.2">
      <c r="A10" s="154" t="s">
        <v>107</v>
      </c>
      <c r="B10" s="147" t="s">
        <v>108</v>
      </c>
      <c r="C10" s="157">
        <v>19.100000000000001</v>
      </c>
      <c r="D10" s="157">
        <v>6</v>
      </c>
      <c r="E10" s="158">
        <v>0.13</v>
      </c>
      <c r="F10" s="147" t="s">
        <v>109</v>
      </c>
    </row>
    <row r="11" spans="1:6" ht="26" customHeight="1" x14ac:dyDescent="0.2">
      <c r="A11" s="154" t="s">
        <v>110</v>
      </c>
      <c r="B11" s="147" t="s">
        <v>111</v>
      </c>
      <c r="C11" s="157">
        <v>23.2</v>
      </c>
      <c r="D11" s="157">
        <v>5</v>
      </c>
      <c r="E11" s="158">
        <v>0.16</v>
      </c>
      <c r="F11" s="147" t="s">
        <v>112</v>
      </c>
    </row>
    <row r="12" spans="1:6" ht="26" customHeight="1" x14ac:dyDescent="0.2">
      <c r="A12" s="154" t="s">
        <v>113</v>
      </c>
      <c r="B12" s="147" t="s">
        <v>114</v>
      </c>
      <c r="C12" s="157">
        <v>20.9</v>
      </c>
      <c r="D12" s="157">
        <v>4</v>
      </c>
      <c r="E12" s="158">
        <v>0.14000000000000001</v>
      </c>
      <c r="F12" s="147" t="s">
        <v>115</v>
      </c>
    </row>
    <row r="13" spans="1:6" ht="26" customHeight="1" x14ac:dyDescent="0.2">
      <c r="A13" s="154" t="s">
        <v>116</v>
      </c>
      <c r="B13" s="147" t="s">
        <v>117</v>
      </c>
      <c r="C13" s="157">
        <v>22</v>
      </c>
      <c r="D13" s="157">
        <v>5</v>
      </c>
      <c r="E13" s="158">
        <v>0.14000000000000001</v>
      </c>
      <c r="F13" s="147" t="s">
        <v>118</v>
      </c>
    </row>
    <row r="14" spans="1:6" ht="26" customHeight="1" x14ac:dyDescent="0.2">
      <c r="A14" s="154" t="s">
        <v>119</v>
      </c>
      <c r="B14" s="147" t="s">
        <v>120</v>
      </c>
      <c r="C14" s="157">
        <v>22</v>
      </c>
      <c r="D14" s="157">
        <v>5</v>
      </c>
      <c r="E14" s="158">
        <v>0.17</v>
      </c>
      <c r="F14" s="147" t="s">
        <v>121</v>
      </c>
    </row>
    <row r="15" spans="1:6" ht="26" customHeight="1" x14ac:dyDescent="0.2">
      <c r="A15" s="154" t="s">
        <v>122</v>
      </c>
      <c r="B15" s="147" t="s">
        <v>123</v>
      </c>
      <c r="C15" s="157">
        <v>28.2</v>
      </c>
      <c r="D15" s="157">
        <v>3</v>
      </c>
      <c r="E15" s="158">
        <v>0.14000000000000001</v>
      </c>
      <c r="F15" s="147" t="s">
        <v>124</v>
      </c>
    </row>
    <row r="16" spans="1:6" ht="26" customHeight="1" x14ac:dyDescent="0.2">
      <c r="A16" s="154" t="s">
        <v>125</v>
      </c>
      <c r="B16" s="147" t="s">
        <v>126</v>
      </c>
      <c r="C16" s="157">
        <v>17.7</v>
      </c>
      <c r="D16" s="157">
        <v>6</v>
      </c>
      <c r="E16" s="158">
        <v>0.16</v>
      </c>
      <c r="F16" s="147" t="s">
        <v>127</v>
      </c>
    </row>
    <row r="17" spans="1:6" ht="26" customHeight="1" x14ac:dyDescent="0.2">
      <c r="A17" s="154" t="s">
        <v>128</v>
      </c>
      <c r="B17" s="147" t="s">
        <v>129</v>
      </c>
      <c r="C17" s="157">
        <v>12.2</v>
      </c>
      <c r="D17" s="157">
        <v>9</v>
      </c>
      <c r="E17" s="158">
        <v>0.18</v>
      </c>
      <c r="F17" s="147" t="s">
        <v>130</v>
      </c>
    </row>
  </sheetData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8B89-F9C2-4799-BF77-1B2516DBCDCF}">
  <dimension ref="A1:I30"/>
  <sheetViews>
    <sheetView showGridLines="0" zoomScale="85" zoomScaleNormal="85" workbookViewId="0"/>
  </sheetViews>
  <sheetFormatPr baseColWidth="10" defaultColWidth="8.83203125" defaultRowHeight="15" x14ac:dyDescent="0.2"/>
  <cols>
    <col min="1" max="1" width="31.33203125" style="93" customWidth="1"/>
    <col min="2" max="2" width="31.83203125" style="93" customWidth="1"/>
    <col min="3" max="3" width="14.1640625" style="93" customWidth="1"/>
    <col min="4" max="4" width="15" style="93" customWidth="1"/>
    <col min="5" max="5" width="9.83203125" style="93" customWidth="1"/>
    <col min="6" max="6" width="18.33203125" style="93" customWidth="1"/>
    <col min="7" max="7" width="12.83203125" style="93" bestFit="1" customWidth="1"/>
    <col min="8" max="8" width="40.1640625" style="93" bestFit="1" customWidth="1"/>
    <col min="9" max="16384" width="8.83203125" style="93"/>
  </cols>
  <sheetData>
    <row r="1" spans="1:8" x14ac:dyDescent="0.2">
      <c r="A1" s="96" t="s">
        <v>370</v>
      </c>
    </row>
    <row r="2" spans="1:8" x14ac:dyDescent="0.2">
      <c r="A2" s="97" t="s">
        <v>371</v>
      </c>
    </row>
    <row r="3" spans="1:8" x14ac:dyDescent="0.2">
      <c r="A3" s="97"/>
    </row>
    <row r="4" spans="1:8" x14ac:dyDescent="0.2">
      <c r="A4" s="96" t="s">
        <v>374</v>
      </c>
    </row>
    <row r="5" spans="1:8" s="114" customFormat="1" ht="30" customHeight="1" x14ac:dyDescent="0.2">
      <c r="A5" s="155" t="s">
        <v>372</v>
      </c>
      <c r="B5" s="155" t="s">
        <v>144</v>
      </c>
      <c r="C5" s="155" t="s">
        <v>131</v>
      </c>
      <c r="D5" s="155" t="s">
        <v>80</v>
      </c>
      <c r="E5" s="156" t="s">
        <v>82</v>
      </c>
      <c r="F5" s="349" t="s">
        <v>162</v>
      </c>
      <c r="G5" s="349"/>
      <c r="H5" s="349"/>
    </row>
    <row r="6" spans="1:8" s="114" customFormat="1" x14ac:dyDescent="0.2">
      <c r="A6" s="145" t="s">
        <v>134</v>
      </c>
      <c r="B6" s="147" t="s">
        <v>96</v>
      </c>
      <c r="C6" s="158">
        <v>47.74</v>
      </c>
      <c r="D6" s="159">
        <v>0.1</v>
      </c>
      <c r="E6" s="158">
        <v>0.25</v>
      </c>
      <c r="F6" s="350" t="s">
        <v>150</v>
      </c>
      <c r="G6" s="350"/>
      <c r="H6" s="350"/>
    </row>
    <row r="7" spans="1:8" s="114" customFormat="1" x14ac:dyDescent="0.2">
      <c r="A7" s="145" t="s">
        <v>98</v>
      </c>
      <c r="B7" s="147" t="s">
        <v>99</v>
      </c>
      <c r="C7" s="158">
        <v>67.290000000000006</v>
      </c>
      <c r="D7" s="159">
        <v>0.11</v>
      </c>
      <c r="E7" s="158">
        <v>0.25</v>
      </c>
      <c r="F7" s="350" t="s">
        <v>151</v>
      </c>
      <c r="G7" s="350"/>
      <c r="H7" s="350"/>
    </row>
    <row r="8" spans="1:8" s="114" customFormat="1" x14ac:dyDescent="0.2">
      <c r="A8" s="145" t="s">
        <v>101</v>
      </c>
      <c r="B8" s="147" t="s">
        <v>102</v>
      </c>
      <c r="C8" s="158">
        <v>28.19</v>
      </c>
      <c r="D8" s="159">
        <v>0.08</v>
      </c>
      <c r="E8" s="158">
        <v>0.25</v>
      </c>
      <c r="F8" s="350" t="s">
        <v>152</v>
      </c>
      <c r="G8" s="350"/>
      <c r="H8" s="350"/>
    </row>
    <row r="9" spans="1:8" s="114" customFormat="1" x14ac:dyDescent="0.2">
      <c r="A9" s="145" t="s">
        <v>104</v>
      </c>
      <c r="B9" s="147" t="s">
        <v>105</v>
      </c>
      <c r="C9" s="158">
        <v>37.54</v>
      </c>
      <c r="D9" s="159">
        <v>0.08</v>
      </c>
      <c r="E9" s="158">
        <v>0.27</v>
      </c>
      <c r="F9" s="350" t="s">
        <v>153</v>
      </c>
      <c r="G9" s="350"/>
      <c r="H9" s="350"/>
    </row>
    <row r="10" spans="1:8" s="114" customFormat="1" x14ac:dyDescent="0.2">
      <c r="A10" s="145" t="s">
        <v>107</v>
      </c>
      <c r="B10" s="147" t="s">
        <v>108</v>
      </c>
      <c r="C10" s="158">
        <v>57.94</v>
      </c>
      <c r="D10" s="159">
        <v>0.12</v>
      </c>
      <c r="E10" s="158">
        <v>0.24</v>
      </c>
      <c r="F10" s="350" t="s">
        <v>154</v>
      </c>
      <c r="G10" s="350"/>
      <c r="H10" s="350"/>
    </row>
    <row r="11" spans="1:8" s="114" customFormat="1" x14ac:dyDescent="0.2">
      <c r="A11" s="145" t="s">
        <v>110</v>
      </c>
      <c r="B11" s="147" t="s">
        <v>111</v>
      </c>
      <c r="C11" s="158">
        <v>45.86</v>
      </c>
      <c r="D11" s="159">
        <v>0.1</v>
      </c>
      <c r="E11" s="158">
        <v>0.26</v>
      </c>
      <c r="F11" s="350" t="s">
        <v>155</v>
      </c>
      <c r="G11" s="350"/>
      <c r="H11" s="350"/>
    </row>
    <row r="12" spans="1:8" s="114" customFormat="1" x14ac:dyDescent="0.2">
      <c r="A12" s="145" t="s">
        <v>113</v>
      </c>
      <c r="B12" s="147" t="s">
        <v>114</v>
      </c>
      <c r="C12" s="158">
        <v>49.6</v>
      </c>
      <c r="D12" s="159">
        <v>0.1</v>
      </c>
      <c r="E12" s="158">
        <v>0.25</v>
      </c>
      <c r="F12" s="350" t="s">
        <v>156</v>
      </c>
      <c r="G12" s="350"/>
      <c r="H12" s="350"/>
    </row>
    <row r="13" spans="1:8" s="114" customFormat="1" x14ac:dyDescent="0.2">
      <c r="A13" s="145" t="s">
        <v>116</v>
      </c>
      <c r="B13" s="147" t="s">
        <v>117</v>
      </c>
      <c r="C13" s="158">
        <v>58.54</v>
      </c>
      <c r="D13" s="159">
        <v>0.11</v>
      </c>
      <c r="E13" s="158">
        <v>0.25</v>
      </c>
      <c r="F13" s="350" t="s">
        <v>157</v>
      </c>
      <c r="G13" s="350"/>
      <c r="H13" s="350"/>
    </row>
    <row r="14" spans="1:8" s="114" customFormat="1" x14ac:dyDescent="0.2">
      <c r="A14" s="145" t="s">
        <v>119</v>
      </c>
      <c r="B14" s="147" t="s">
        <v>120</v>
      </c>
      <c r="C14" s="158">
        <v>36.93</v>
      </c>
      <c r="D14" s="159">
        <v>0.09</v>
      </c>
      <c r="E14" s="158">
        <v>0.27</v>
      </c>
      <c r="F14" s="350" t="s">
        <v>158</v>
      </c>
      <c r="G14" s="350"/>
      <c r="H14" s="350"/>
    </row>
    <row r="15" spans="1:8" s="114" customFormat="1" x14ac:dyDescent="0.2">
      <c r="A15" s="145" t="s">
        <v>122</v>
      </c>
      <c r="B15" s="147" t="s">
        <v>123</v>
      </c>
      <c r="C15" s="158">
        <v>71.81</v>
      </c>
      <c r="D15" s="159">
        <v>0.1</v>
      </c>
      <c r="E15" s="158">
        <v>0.25</v>
      </c>
      <c r="F15" s="350" t="s">
        <v>159</v>
      </c>
      <c r="G15" s="350"/>
      <c r="H15" s="350"/>
    </row>
    <row r="16" spans="1:8" s="114" customFormat="1" x14ac:dyDescent="0.2">
      <c r="A16" s="145" t="s">
        <v>125</v>
      </c>
      <c r="B16" s="147" t="s">
        <v>126</v>
      </c>
      <c r="C16" s="158">
        <v>30.36</v>
      </c>
      <c r="D16" s="159">
        <v>0.1</v>
      </c>
      <c r="E16" s="158">
        <v>0.26</v>
      </c>
      <c r="F16" s="350" t="s">
        <v>160</v>
      </c>
      <c r="G16" s="350"/>
      <c r="H16" s="350"/>
    </row>
    <row r="17" spans="1:9" s="114" customFormat="1" x14ac:dyDescent="0.2">
      <c r="A17" s="145" t="s">
        <v>128</v>
      </c>
      <c r="B17" s="147" t="s">
        <v>129</v>
      </c>
      <c r="C17" s="158">
        <v>7.8</v>
      </c>
      <c r="D17" s="159">
        <v>0.1</v>
      </c>
      <c r="E17" s="158">
        <v>0.27</v>
      </c>
      <c r="F17" s="350" t="s">
        <v>161</v>
      </c>
      <c r="G17" s="350"/>
      <c r="H17" s="350"/>
    </row>
    <row r="18" spans="1:9" s="114" customFormat="1" x14ac:dyDescent="0.2">
      <c r="A18" s="160"/>
      <c r="B18" s="161"/>
      <c r="C18" s="162"/>
      <c r="D18" s="163"/>
      <c r="E18" s="162"/>
      <c r="F18" s="163"/>
      <c r="G18" s="163"/>
      <c r="H18" s="163"/>
    </row>
    <row r="19" spans="1:9" x14ac:dyDescent="0.2">
      <c r="A19" s="96" t="s">
        <v>373</v>
      </c>
      <c r="B19" s="114"/>
      <c r="C19" s="164"/>
      <c r="D19" s="165"/>
      <c r="E19" s="164"/>
      <c r="F19" s="165"/>
    </row>
    <row r="20" spans="1:9" s="114" customFormat="1" ht="30" customHeight="1" x14ac:dyDescent="0.2">
      <c r="A20" s="155" t="s">
        <v>372</v>
      </c>
      <c r="B20" s="155" t="s">
        <v>145</v>
      </c>
      <c r="C20" s="155" t="s">
        <v>132</v>
      </c>
      <c r="D20" s="155" t="s">
        <v>146</v>
      </c>
      <c r="E20" s="156" t="s">
        <v>131</v>
      </c>
      <c r="F20" s="349" t="s">
        <v>80</v>
      </c>
      <c r="G20" s="349" t="s">
        <v>82</v>
      </c>
      <c r="H20" s="349" t="s">
        <v>133</v>
      </c>
    </row>
    <row r="21" spans="1:9" s="114" customFormat="1" x14ac:dyDescent="0.2">
      <c r="A21" s="145" t="s">
        <v>134</v>
      </c>
      <c r="B21" s="147">
        <v>70</v>
      </c>
      <c r="C21" s="147">
        <v>130</v>
      </c>
      <c r="D21" s="166">
        <v>87444870</v>
      </c>
      <c r="E21" s="158">
        <v>47.74</v>
      </c>
      <c r="F21" s="159">
        <v>0.1</v>
      </c>
      <c r="G21" s="158">
        <v>0.25</v>
      </c>
      <c r="H21" s="147" t="s">
        <v>135</v>
      </c>
    </row>
    <row r="22" spans="1:9" s="114" customFormat="1" x14ac:dyDescent="0.2">
      <c r="A22" s="145" t="s">
        <v>136</v>
      </c>
      <c r="B22" s="147">
        <v>67.37</v>
      </c>
      <c r="C22" s="147">
        <v>132.63</v>
      </c>
      <c r="D22" s="167">
        <v>84159441.409999996</v>
      </c>
      <c r="E22" s="158">
        <v>51</v>
      </c>
      <c r="F22" s="159">
        <v>0.1</v>
      </c>
      <c r="G22" s="158">
        <v>0.25</v>
      </c>
      <c r="H22" s="147" t="s">
        <v>137</v>
      </c>
    </row>
    <row r="23" spans="1:9" s="114" customFormat="1" x14ac:dyDescent="0.2">
      <c r="A23" s="145" t="s">
        <v>138</v>
      </c>
      <c r="B23" s="147">
        <v>0.72</v>
      </c>
      <c r="C23" s="147">
        <v>199.28</v>
      </c>
      <c r="D23" s="167">
        <v>899432.95</v>
      </c>
      <c r="E23" s="158">
        <v>134.30000000000001</v>
      </c>
      <c r="F23" s="159">
        <v>0.16</v>
      </c>
      <c r="G23" s="158">
        <v>0.11</v>
      </c>
      <c r="H23" s="147" t="s">
        <v>139</v>
      </c>
    </row>
    <row r="24" spans="1:9" s="114" customFormat="1" x14ac:dyDescent="0.2">
      <c r="A24" s="145" t="s">
        <v>140</v>
      </c>
      <c r="B24" s="147">
        <v>100</v>
      </c>
      <c r="C24" s="147">
        <v>100</v>
      </c>
      <c r="D24" s="167">
        <v>124921243</v>
      </c>
      <c r="E24" s="158">
        <v>10.26</v>
      </c>
      <c r="F24" s="159">
        <v>0.06</v>
      </c>
      <c r="G24" s="158">
        <v>0.32</v>
      </c>
      <c r="H24" s="147" t="s">
        <v>141</v>
      </c>
    </row>
    <row r="25" spans="1:9" x14ac:dyDescent="0.2">
      <c r="A25" s="137"/>
      <c r="B25" s="137"/>
      <c r="C25" s="137"/>
      <c r="D25" s="137"/>
      <c r="E25" s="137"/>
      <c r="F25" s="137"/>
      <c r="G25" s="137"/>
      <c r="H25" s="137"/>
    </row>
    <row r="26" spans="1:9" x14ac:dyDescent="0.2">
      <c r="A26" s="96" t="s">
        <v>375</v>
      </c>
      <c r="B26" s="137"/>
      <c r="C26" s="137"/>
      <c r="D26" s="137"/>
      <c r="E26" s="137"/>
      <c r="F26" s="137"/>
      <c r="G26" s="137"/>
      <c r="H26" s="168"/>
      <c r="I26" s="169"/>
    </row>
    <row r="27" spans="1:9" s="138" customFormat="1" x14ac:dyDescent="0.2">
      <c r="A27" s="347" t="s">
        <v>147</v>
      </c>
      <c r="B27" s="348"/>
      <c r="C27" s="349" t="s">
        <v>148</v>
      </c>
      <c r="D27" s="349"/>
      <c r="E27" s="349"/>
      <c r="F27" s="349"/>
      <c r="G27" s="349"/>
      <c r="H27" s="170"/>
    </row>
    <row r="28" spans="1:9" s="138" customFormat="1" x14ac:dyDescent="0.2">
      <c r="A28" s="156" t="s">
        <v>68</v>
      </c>
      <c r="B28" s="156" t="s">
        <v>64</v>
      </c>
      <c r="C28" s="156" t="s">
        <v>66</v>
      </c>
      <c r="D28" s="156" t="s">
        <v>73</v>
      </c>
      <c r="E28" s="156" t="s">
        <v>67</v>
      </c>
      <c r="F28" s="156" t="s">
        <v>73</v>
      </c>
      <c r="G28" s="156" t="s">
        <v>65</v>
      </c>
      <c r="H28" s="170"/>
    </row>
    <row r="29" spans="1:9" x14ac:dyDescent="0.2">
      <c r="A29" s="171" t="s">
        <v>69</v>
      </c>
      <c r="B29" s="157" t="s">
        <v>71</v>
      </c>
      <c r="C29" s="158">
        <v>67.37</v>
      </c>
      <c r="D29" s="158" t="s">
        <v>74</v>
      </c>
      <c r="E29" s="158">
        <v>234</v>
      </c>
      <c r="F29" s="158" t="s">
        <v>75</v>
      </c>
      <c r="G29" s="158">
        <v>140.27000000000001</v>
      </c>
      <c r="H29" s="137"/>
    </row>
    <row r="30" spans="1:9" x14ac:dyDescent="0.2">
      <c r="A30" s="171" t="s">
        <v>70</v>
      </c>
      <c r="B30" s="157" t="s">
        <v>72</v>
      </c>
      <c r="C30" s="158">
        <v>0.72</v>
      </c>
      <c r="D30" s="158"/>
      <c r="E30" s="158">
        <v>78.2</v>
      </c>
      <c r="F30" s="158"/>
      <c r="G30" s="158">
        <v>25.16</v>
      </c>
      <c r="H30" s="137"/>
    </row>
  </sheetData>
  <mergeCells count="16">
    <mergeCell ref="A27:B27"/>
    <mergeCell ref="C27:G27"/>
    <mergeCell ref="F5:H5"/>
    <mergeCell ref="F6:H6"/>
    <mergeCell ref="F7:H7"/>
    <mergeCell ref="F8:H8"/>
    <mergeCell ref="F9:H9"/>
    <mergeCell ref="F10:H10"/>
    <mergeCell ref="F17:H17"/>
    <mergeCell ref="F15:H15"/>
    <mergeCell ref="F16:H16"/>
    <mergeCell ref="F20:H20"/>
    <mergeCell ref="F11:H11"/>
    <mergeCell ref="F12:H12"/>
    <mergeCell ref="F13:H13"/>
    <mergeCell ref="F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5A37-BC57-4CCB-BFDE-3494425E5C75}">
  <dimension ref="A1:F20"/>
  <sheetViews>
    <sheetView showGridLines="0" zoomScale="85" zoomScaleNormal="85" workbookViewId="0"/>
  </sheetViews>
  <sheetFormatPr baseColWidth="10" defaultColWidth="8.83203125" defaultRowHeight="15" x14ac:dyDescent="0.2"/>
  <cols>
    <col min="1" max="1" width="17.1640625" style="17" customWidth="1"/>
    <col min="2" max="4" width="26.1640625" style="17" customWidth="1"/>
    <col min="5" max="5" width="15.6640625" style="17" customWidth="1"/>
    <col min="6" max="6" width="48.33203125" style="17" customWidth="1"/>
    <col min="7" max="16384" width="8.83203125" style="17"/>
  </cols>
  <sheetData>
    <row r="1" spans="1:6" x14ac:dyDescent="0.2">
      <c r="A1" s="86" t="s">
        <v>350</v>
      </c>
    </row>
    <row r="2" spans="1:6" x14ac:dyDescent="0.2">
      <c r="A2" s="87" t="s">
        <v>351</v>
      </c>
    </row>
    <row r="3" spans="1:6" x14ac:dyDescent="0.2">
      <c r="A3" s="85"/>
    </row>
    <row r="4" spans="1:6" x14ac:dyDescent="0.2">
      <c r="A4" s="86" t="s">
        <v>352</v>
      </c>
    </row>
    <row r="5" spans="1:6" ht="30" customHeight="1" x14ac:dyDescent="0.2">
      <c r="A5" s="91" t="s">
        <v>279</v>
      </c>
      <c r="B5" s="91" t="s">
        <v>280</v>
      </c>
      <c r="C5" s="91" t="s">
        <v>281</v>
      </c>
      <c r="D5" s="91" t="s">
        <v>282</v>
      </c>
      <c r="E5" s="307" t="s">
        <v>283</v>
      </c>
      <c r="F5" s="307"/>
    </row>
    <row r="6" spans="1:6" s="89" customFormat="1" ht="30" customHeight="1" x14ac:dyDescent="0.15">
      <c r="A6" s="92" t="s">
        <v>284</v>
      </c>
      <c r="B6" s="88" t="s">
        <v>285</v>
      </c>
      <c r="C6" s="88" t="s">
        <v>286</v>
      </c>
      <c r="D6" s="88" t="s">
        <v>287</v>
      </c>
      <c r="E6" s="306" t="s">
        <v>288</v>
      </c>
      <c r="F6" s="306"/>
    </row>
    <row r="7" spans="1:6" s="89" customFormat="1" ht="30" customHeight="1" x14ac:dyDescent="0.15">
      <c r="A7" s="92" t="s">
        <v>289</v>
      </c>
      <c r="B7" s="88" t="s">
        <v>290</v>
      </c>
      <c r="C7" s="88" t="s">
        <v>286</v>
      </c>
      <c r="D7" s="88" t="s">
        <v>291</v>
      </c>
      <c r="E7" s="306" t="s">
        <v>292</v>
      </c>
      <c r="F7" s="306"/>
    </row>
    <row r="8" spans="1:6" s="89" customFormat="1" ht="30" customHeight="1" x14ac:dyDescent="0.15">
      <c r="A8" s="92" t="s">
        <v>293</v>
      </c>
      <c r="B8" s="88" t="s">
        <v>294</v>
      </c>
      <c r="C8" s="88" t="s">
        <v>295</v>
      </c>
      <c r="D8" s="88" t="s">
        <v>296</v>
      </c>
      <c r="E8" s="306" t="s">
        <v>297</v>
      </c>
      <c r="F8" s="306"/>
    </row>
    <row r="9" spans="1:6" s="89" customFormat="1" ht="30" customHeight="1" x14ac:dyDescent="0.15">
      <c r="A9" s="92" t="s">
        <v>298</v>
      </c>
      <c r="B9" s="88" t="s">
        <v>299</v>
      </c>
      <c r="C9" s="88" t="s">
        <v>300</v>
      </c>
      <c r="D9" s="88" t="s">
        <v>301</v>
      </c>
      <c r="E9" s="306" t="s">
        <v>302</v>
      </c>
      <c r="F9" s="306"/>
    </row>
    <row r="10" spans="1:6" s="89" customFormat="1" ht="30" customHeight="1" x14ac:dyDescent="0.15">
      <c r="A10" s="92" t="s">
        <v>303</v>
      </c>
      <c r="B10" s="88" t="s">
        <v>304</v>
      </c>
      <c r="C10" s="88" t="s">
        <v>305</v>
      </c>
      <c r="D10" s="88" t="s">
        <v>306</v>
      </c>
      <c r="E10" s="306" t="s">
        <v>307</v>
      </c>
      <c r="F10" s="306"/>
    </row>
    <row r="12" spans="1:6" x14ac:dyDescent="0.2">
      <c r="A12" s="86" t="s">
        <v>349</v>
      </c>
    </row>
    <row r="13" spans="1:6" s="90" customFormat="1" ht="30" customHeight="1" x14ac:dyDescent="0.2">
      <c r="A13" s="141" t="s">
        <v>308</v>
      </c>
      <c r="B13" s="141" t="s">
        <v>309</v>
      </c>
      <c r="C13" s="141" t="s">
        <v>310</v>
      </c>
      <c r="D13" s="141" t="s">
        <v>311</v>
      </c>
      <c r="E13" s="141" t="s">
        <v>312</v>
      </c>
      <c r="F13" s="141" t="s">
        <v>313</v>
      </c>
    </row>
    <row r="14" spans="1:6" s="90" customFormat="1" ht="30" customHeight="1" x14ac:dyDescent="0.2">
      <c r="A14" s="92" t="s">
        <v>285</v>
      </c>
      <c r="B14" s="88" t="s">
        <v>314</v>
      </c>
      <c r="C14" s="88" t="s">
        <v>315</v>
      </c>
      <c r="D14" s="88" t="s">
        <v>316</v>
      </c>
      <c r="E14" s="88" t="s">
        <v>317</v>
      </c>
      <c r="F14" s="88" t="s">
        <v>318</v>
      </c>
    </row>
    <row r="15" spans="1:6" s="90" customFormat="1" ht="30" customHeight="1" x14ac:dyDescent="0.2">
      <c r="A15" s="92" t="s">
        <v>319</v>
      </c>
      <c r="B15" s="88" t="s">
        <v>320</v>
      </c>
      <c r="C15" s="88" t="s">
        <v>321</v>
      </c>
      <c r="D15" s="88" t="s">
        <v>322</v>
      </c>
      <c r="E15" s="88" t="s">
        <v>323</v>
      </c>
      <c r="F15" s="88" t="s">
        <v>324</v>
      </c>
    </row>
    <row r="16" spans="1:6" s="90" customFormat="1" ht="30" customHeight="1" x14ac:dyDescent="0.2">
      <c r="A16" s="92" t="s">
        <v>325</v>
      </c>
      <c r="B16" s="88" t="s">
        <v>326</v>
      </c>
      <c r="C16" s="88" t="s">
        <v>327</v>
      </c>
      <c r="D16" s="88" t="s">
        <v>328</v>
      </c>
      <c r="E16" s="88" t="s">
        <v>329</v>
      </c>
      <c r="F16" s="88" t="s">
        <v>330</v>
      </c>
    </row>
    <row r="17" spans="1:6" s="90" customFormat="1" ht="30" customHeight="1" x14ac:dyDescent="0.2">
      <c r="A17" s="92" t="s">
        <v>331</v>
      </c>
      <c r="B17" s="88" t="s">
        <v>332</v>
      </c>
      <c r="C17" s="88" t="s">
        <v>333</v>
      </c>
      <c r="D17" s="88" t="s">
        <v>328</v>
      </c>
      <c r="E17" s="88" t="s">
        <v>329</v>
      </c>
      <c r="F17" s="88" t="s">
        <v>334</v>
      </c>
    </row>
    <row r="18" spans="1:6" s="90" customFormat="1" ht="30" customHeight="1" x14ac:dyDescent="0.2">
      <c r="A18" s="92" t="s">
        <v>335</v>
      </c>
      <c r="B18" s="88" t="s">
        <v>336</v>
      </c>
      <c r="C18" s="88" t="s">
        <v>337</v>
      </c>
      <c r="D18" s="88" t="s">
        <v>338</v>
      </c>
      <c r="E18" s="88" t="s">
        <v>323</v>
      </c>
      <c r="F18" s="88" t="s">
        <v>339</v>
      </c>
    </row>
    <row r="19" spans="1:6" s="90" customFormat="1" ht="30" customHeight="1" x14ac:dyDescent="0.2">
      <c r="A19" s="92" t="s">
        <v>340</v>
      </c>
      <c r="B19" s="88" t="s">
        <v>341</v>
      </c>
      <c r="C19" s="88" t="s">
        <v>342</v>
      </c>
      <c r="D19" s="88" t="s">
        <v>322</v>
      </c>
      <c r="E19" s="88" t="s">
        <v>323</v>
      </c>
      <c r="F19" s="88" t="s">
        <v>343</v>
      </c>
    </row>
    <row r="20" spans="1:6" s="90" customFormat="1" ht="30" customHeight="1" x14ac:dyDescent="0.2">
      <c r="A20" s="92" t="s">
        <v>344</v>
      </c>
      <c r="B20" s="88" t="s">
        <v>345</v>
      </c>
      <c r="C20" s="88" t="s">
        <v>346</v>
      </c>
      <c r="D20" s="88" t="s">
        <v>347</v>
      </c>
      <c r="E20" s="88" t="s">
        <v>329</v>
      </c>
      <c r="F20" s="88" t="s">
        <v>348</v>
      </c>
    </row>
  </sheetData>
  <mergeCells count="6">
    <mergeCell ref="E10:F10"/>
    <mergeCell ref="E5:F5"/>
    <mergeCell ref="E6:F6"/>
    <mergeCell ref="E7:F7"/>
    <mergeCell ref="E8:F8"/>
    <mergeCell ref="E9:F9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0262E-DEB8-49CA-80A4-5D1C23CD48C5}">
  <dimension ref="A1:A63"/>
  <sheetViews>
    <sheetView showGridLines="0" zoomScale="70" zoomScaleNormal="70" workbookViewId="0"/>
  </sheetViews>
  <sheetFormatPr baseColWidth="10" defaultColWidth="8.83203125" defaultRowHeight="15" x14ac:dyDescent="0.2"/>
  <cols>
    <col min="1" max="16384" width="8.83203125" style="93"/>
  </cols>
  <sheetData>
    <row r="1" spans="1:1" x14ac:dyDescent="0.2">
      <c r="A1" s="86" t="s">
        <v>353</v>
      </c>
    </row>
    <row r="2" spans="1:1" x14ac:dyDescent="0.2">
      <c r="A2" s="87" t="s">
        <v>354</v>
      </c>
    </row>
    <row r="62" spans="1:1" x14ac:dyDescent="0.2">
      <c r="A62" s="94" t="s">
        <v>355</v>
      </c>
    </row>
    <row r="63" spans="1:1" x14ac:dyDescent="0.2">
      <c r="A63" s="95" t="s">
        <v>356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1AF7-1466-414E-ADDB-822640FEFCCC}">
  <dimension ref="A1:L37"/>
  <sheetViews>
    <sheetView showGridLines="0" zoomScale="85" zoomScaleNormal="85" workbookViewId="0">
      <selection activeCell="J21" sqref="J21"/>
    </sheetView>
  </sheetViews>
  <sheetFormatPr baseColWidth="10" defaultColWidth="8.83203125" defaultRowHeight="15" x14ac:dyDescent="0.2"/>
  <cols>
    <col min="1" max="1" width="16.1640625" style="93" customWidth="1"/>
    <col min="2" max="2" width="15.5" style="93" customWidth="1"/>
    <col min="3" max="3" width="11.83203125" style="93" customWidth="1"/>
    <col min="4" max="4" width="8.5" style="93" customWidth="1"/>
    <col min="5" max="5" width="15.5" style="93" customWidth="1"/>
    <col min="6" max="6" width="16" style="93" customWidth="1"/>
    <col min="7" max="7" width="16.1640625" style="93" customWidth="1"/>
    <col min="8" max="8" width="11" style="93" customWidth="1"/>
    <col min="9" max="9" width="11.6640625" style="93" customWidth="1"/>
    <col min="10" max="10" width="9.5" style="93" customWidth="1"/>
    <col min="11" max="11" width="12.5" style="93" customWidth="1"/>
    <col min="12" max="12" width="12.6640625" style="93" customWidth="1"/>
    <col min="13" max="13" width="16.1640625" style="93" bestFit="1" customWidth="1"/>
    <col min="14" max="16384" width="8.83203125" style="93"/>
  </cols>
  <sheetData>
    <row r="1" spans="1:12" x14ac:dyDescent="0.2">
      <c r="A1" s="96" t="s">
        <v>357</v>
      </c>
    </row>
    <row r="2" spans="1:12" x14ac:dyDescent="0.2">
      <c r="A2" s="97" t="s">
        <v>358</v>
      </c>
    </row>
    <row r="4" spans="1:12" ht="16" x14ac:dyDescent="0.2">
      <c r="A4" s="151" t="s">
        <v>359</v>
      </c>
      <c r="B4" s="98"/>
      <c r="C4" s="98"/>
      <c r="D4" s="98"/>
      <c r="E4" s="98"/>
      <c r="F4" s="98"/>
      <c r="G4" s="98"/>
    </row>
    <row r="5" spans="1:12" s="137" customFormat="1" ht="35" customHeight="1" x14ac:dyDescent="0.2">
      <c r="A5" s="141" t="s">
        <v>167</v>
      </c>
      <c r="B5" s="141" t="s">
        <v>186</v>
      </c>
      <c r="C5" s="141" t="s">
        <v>215</v>
      </c>
      <c r="D5" s="311" t="s">
        <v>216</v>
      </c>
      <c r="E5" s="312"/>
      <c r="F5" s="141" t="s">
        <v>363</v>
      </c>
      <c r="G5" s="141" t="s">
        <v>218</v>
      </c>
      <c r="H5" s="141" t="s">
        <v>219</v>
      </c>
      <c r="I5" s="141" t="s">
        <v>220</v>
      </c>
      <c r="J5" s="141" t="s">
        <v>221</v>
      </c>
      <c r="K5" s="141" t="s">
        <v>222</v>
      </c>
      <c r="L5" s="141" t="s">
        <v>223</v>
      </c>
    </row>
    <row r="6" spans="1:12" x14ac:dyDescent="0.2">
      <c r="A6" s="99" t="s">
        <v>180</v>
      </c>
      <c r="B6" s="100">
        <v>136806.45000000001</v>
      </c>
      <c r="C6" s="101">
        <v>3</v>
      </c>
      <c r="D6" s="102" t="s">
        <v>224</v>
      </c>
      <c r="E6" s="102"/>
      <c r="F6" s="102">
        <v>10</v>
      </c>
      <c r="G6" s="102" t="s">
        <v>241</v>
      </c>
      <c r="H6" s="102">
        <v>600</v>
      </c>
      <c r="I6" s="101">
        <v>4000</v>
      </c>
      <c r="J6" s="103">
        <f>(I6*1000)/H6</f>
        <v>6666.666666666667</v>
      </c>
      <c r="K6" s="104">
        <f>C6*J6</f>
        <v>20000</v>
      </c>
      <c r="L6" s="105">
        <f>K6/B6</f>
        <v>0.14619193758773799</v>
      </c>
    </row>
    <row r="7" spans="1:12" x14ac:dyDescent="0.2">
      <c r="A7" s="99" t="s">
        <v>183</v>
      </c>
      <c r="B7" s="100">
        <v>176913.96</v>
      </c>
      <c r="C7" s="101">
        <v>3</v>
      </c>
      <c r="D7" s="102" t="s">
        <v>224</v>
      </c>
      <c r="E7" s="102"/>
      <c r="F7" s="102">
        <v>10</v>
      </c>
      <c r="G7" s="102" t="s">
        <v>241</v>
      </c>
      <c r="H7" s="102">
        <v>600</v>
      </c>
      <c r="I7" s="101">
        <v>6000</v>
      </c>
      <c r="J7" s="103">
        <f>(I7*1000)/H7</f>
        <v>10000</v>
      </c>
      <c r="K7" s="104">
        <f>C7*J7</f>
        <v>30000</v>
      </c>
      <c r="L7" s="105">
        <f>K7/B7</f>
        <v>0.1695739556109648</v>
      </c>
    </row>
    <row r="8" spans="1:12" x14ac:dyDescent="0.2">
      <c r="A8" s="99" t="s">
        <v>193</v>
      </c>
      <c r="B8" s="100">
        <f>B6+B7</f>
        <v>313720.41000000003</v>
      </c>
      <c r="C8" s="101">
        <v>3</v>
      </c>
      <c r="D8" s="102" t="s">
        <v>224</v>
      </c>
      <c r="E8" s="102"/>
      <c r="F8" s="102">
        <v>10</v>
      </c>
      <c r="G8" s="102" t="s">
        <v>241</v>
      </c>
      <c r="H8" s="102">
        <v>600</v>
      </c>
      <c r="I8" s="101">
        <f>I7+I6</f>
        <v>10000</v>
      </c>
      <c r="J8" s="103">
        <f>J6+J7</f>
        <v>16666.666666666668</v>
      </c>
      <c r="K8" s="104">
        <f>K6+K7</f>
        <v>50000</v>
      </c>
      <c r="L8" s="105">
        <f>K8/B8</f>
        <v>0.15937758082108841</v>
      </c>
    </row>
    <row r="10" spans="1:12" ht="16" x14ac:dyDescent="0.2">
      <c r="A10" s="151" t="s">
        <v>360</v>
      </c>
      <c r="B10" s="98"/>
      <c r="C10" s="98"/>
      <c r="D10" s="98"/>
      <c r="E10" s="98"/>
      <c r="F10" s="98"/>
      <c r="G10" s="98"/>
    </row>
    <row r="11" spans="1:12" s="137" customFormat="1" ht="35" customHeight="1" x14ac:dyDescent="0.2">
      <c r="A11" s="141" t="s">
        <v>167</v>
      </c>
      <c r="B11" s="141" t="s">
        <v>186</v>
      </c>
      <c r="C11" s="141" t="s">
        <v>215</v>
      </c>
      <c r="D11" s="311" t="s">
        <v>216</v>
      </c>
      <c r="E11" s="312"/>
      <c r="F11" s="141" t="s">
        <v>363</v>
      </c>
      <c r="G11" s="141" t="s">
        <v>218</v>
      </c>
      <c r="H11" s="141" t="s">
        <v>219</v>
      </c>
      <c r="I11" s="141" t="s">
        <v>220</v>
      </c>
      <c r="J11" s="141" t="s">
        <v>221</v>
      </c>
      <c r="K11" s="141" t="s">
        <v>222</v>
      </c>
      <c r="L11" s="141" t="s">
        <v>223</v>
      </c>
    </row>
    <row r="12" spans="1:12" x14ac:dyDescent="0.2">
      <c r="A12" s="99" t="s">
        <v>180</v>
      </c>
      <c r="B12" s="100">
        <v>136806.45000000001</v>
      </c>
      <c r="C12" s="101">
        <v>3</v>
      </c>
      <c r="D12" s="102" t="s">
        <v>224</v>
      </c>
      <c r="E12" s="102"/>
      <c r="F12" s="102">
        <v>10</v>
      </c>
      <c r="G12" s="102" t="s">
        <v>242</v>
      </c>
      <c r="H12" s="102">
        <v>600</v>
      </c>
      <c r="I12" s="101">
        <v>4000</v>
      </c>
      <c r="J12" s="103">
        <f>(I12*1000)/H12</f>
        <v>6666.666666666667</v>
      </c>
      <c r="K12" s="104">
        <f>C12*J12</f>
        <v>20000</v>
      </c>
      <c r="L12" s="105">
        <f>K12/B12</f>
        <v>0.14619193758773799</v>
      </c>
    </row>
    <row r="13" spans="1:12" x14ac:dyDescent="0.2">
      <c r="A13" s="99" t="s">
        <v>183</v>
      </c>
      <c r="B13" s="100">
        <v>176913.96</v>
      </c>
      <c r="C13" s="101">
        <v>3</v>
      </c>
      <c r="D13" s="102" t="s">
        <v>224</v>
      </c>
      <c r="E13" s="102"/>
      <c r="F13" s="102">
        <v>10</v>
      </c>
      <c r="G13" s="102" t="s">
        <v>242</v>
      </c>
      <c r="H13" s="102">
        <v>600</v>
      </c>
      <c r="I13" s="101">
        <v>6000</v>
      </c>
      <c r="J13" s="103">
        <f>(I13*1000)/H13</f>
        <v>10000</v>
      </c>
      <c r="K13" s="104">
        <f>C13*J13</f>
        <v>30000</v>
      </c>
      <c r="L13" s="105">
        <f>K13/B13</f>
        <v>0.1695739556109648</v>
      </c>
    </row>
    <row r="14" spans="1:12" x14ac:dyDescent="0.2">
      <c r="A14" s="99" t="s">
        <v>193</v>
      </c>
      <c r="B14" s="100">
        <f>B12+B13</f>
        <v>313720.41000000003</v>
      </c>
      <c r="C14" s="101">
        <v>3</v>
      </c>
      <c r="D14" s="102" t="s">
        <v>224</v>
      </c>
      <c r="E14" s="102"/>
      <c r="F14" s="102">
        <v>10</v>
      </c>
      <c r="G14" s="102" t="s">
        <v>242</v>
      </c>
      <c r="H14" s="102">
        <v>600</v>
      </c>
      <c r="I14" s="101">
        <f>I13+I12</f>
        <v>10000</v>
      </c>
      <c r="J14" s="103">
        <f>J12+J13</f>
        <v>16666.666666666668</v>
      </c>
      <c r="K14" s="104">
        <f>K12+K13</f>
        <v>50000</v>
      </c>
      <c r="L14" s="105">
        <f>K14/B14</f>
        <v>0.15937758082108841</v>
      </c>
    </row>
    <row r="15" spans="1:12" x14ac:dyDescent="0.2">
      <c r="A15" s="106"/>
      <c r="B15" s="107"/>
      <c r="C15" s="108"/>
      <c r="D15" s="106"/>
      <c r="E15" s="106"/>
      <c r="F15" s="106"/>
      <c r="G15" s="106"/>
      <c r="H15" s="106"/>
      <c r="I15" s="108"/>
      <c r="J15" s="109"/>
      <c r="K15" s="110"/>
      <c r="L15" s="111"/>
    </row>
    <row r="16" spans="1:12" x14ac:dyDescent="0.2">
      <c r="A16" s="302" t="s">
        <v>386</v>
      </c>
      <c r="B16" s="300"/>
      <c r="C16" s="303"/>
      <c r="D16" s="299"/>
      <c r="E16" s="299"/>
      <c r="F16" s="299"/>
      <c r="G16" s="299"/>
      <c r="H16" s="106"/>
      <c r="I16" s="108"/>
      <c r="J16" s="109"/>
      <c r="K16" s="110"/>
      <c r="L16" s="111"/>
    </row>
    <row r="17" spans="1:10" x14ac:dyDescent="0.2">
      <c r="A17" s="151" t="s">
        <v>225</v>
      </c>
      <c r="B17" s="107"/>
      <c r="C17" s="107"/>
      <c r="D17" s="107"/>
      <c r="E17" s="151" t="s">
        <v>226</v>
      </c>
      <c r="F17" s="107"/>
      <c r="H17" s="107"/>
      <c r="I17" s="107"/>
      <c r="J17" s="109"/>
    </row>
    <row r="18" spans="1:10" s="144" customFormat="1" ht="35" customHeight="1" x14ac:dyDescent="0.2">
      <c r="A18" s="142" t="s">
        <v>361</v>
      </c>
      <c r="B18" s="141" t="s">
        <v>362</v>
      </c>
      <c r="C18" s="143" t="s">
        <v>198</v>
      </c>
      <c r="E18" s="142" t="s">
        <v>361</v>
      </c>
      <c r="F18" s="141" t="s">
        <v>362</v>
      </c>
      <c r="G18" s="143" t="s">
        <v>198</v>
      </c>
    </row>
    <row r="19" spans="1:10" s="137" customFormat="1" ht="25" customHeight="1" x14ac:dyDescent="0.2">
      <c r="A19" s="145" t="s">
        <v>227</v>
      </c>
      <c r="B19" s="147">
        <v>10</v>
      </c>
      <c r="C19" s="147" t="s">
        <v>228</v>
      </c>
      <c r="E19" s="145" t="s">
        <v>227</v>
      </c>
      <c r="F19" s="147">
        <v>10</v>
      </c>
      <c r="G19" s="147" t="s">
        <v>228</v>
      </c>
    </row>
    <row r="20" spans="1:10" s="137" customFormat="1" ht="25" customHeight="1" x14ac:dyDescent="0.2">
      <c r="A20" s="145" t="s">
        <v>229</v>
      </c>
      <c r="B20" s="148">
        <f>B19/B21</f>
        <v>8.3333333333333339</v>
      </c>
      <c r="C20" s="147" t="s">
        <v>230</v>
      </c>
      <c r="E20" s="145" t="s">
        <v>229</v>
      </c>
      <c r="F20" s="148">
        <f>F19/F21</f>
        <v>8.3333333333333339</v>
      </c>
      <c r="G20" s="147" t="s">
        <v>230</v>
      </c>
    </row>
    <row r="21" spans="1:10" s="137" customFormat="1" ht="25" customHeight="1" x14ac:dyDescent="0.2">
      <c r="A21" s="145" t="s">
        <v>231</v>
      </c>
      <c r="B21" s="147">
        <v>1.2</v>
      </c>
      <c r="C21" s="147" t="s">
        <v>261</v>
      </c>
      <c r="E21" s="145" t="s">
        <v>231</v>
      </c>
      <c r="F21" s="147">
        <v>1.2</v>
      </c>
      <c r="G21" s="147" t="s">
        <v>261</v>
      </c>
    </row>
    <row r="22" spans="1:10" s="137" customFormat="1" ht="25" customHeight="1" x14ac:dyDescent="0.2">
      <c r="A22" s="145" t="s">
        <v>232</v>
      </c>
      <c r="B22" s="147" t="s">
        <v>233</v>
      </c>
      <c r="C22" s="147"/>
      <c r="E22" s="145" t="s">
        <v>232</v>
      </c>
      <c r="F22" s="147" t="s">
        <v>249</v>
      </c>
      <c r="G22" s="147"/>
    </row>
    <row r="23" spans="1:10" s="137" customFormat="1" ht="25" customHeight="1" x14ac:dyDescent="0.2">
      <c r="A23" s="145" t="s">
        <v>234</v>
      </c>
      <c r="B23" s="147" t="s">
        <v>235</v>
      </c>
      <c r="C23" s="147" t="s">
        <v>262</v>
      </c>
      <c r="E23" s="145" t="s">
        <v>234</v>
      </c>
      <c r="F23" s="147" t="s">
        <v>235</v>
      </c>
      <c r="G23" s="147" t="s">
        <v>262</v>
      </c>
    </row>
    <row r="24" spans="1:10" s="137" customFormat="1" ht="25" customHeight="1" x14ac:dyDescent="0.2">
      <c r="A24" s="145" t="s">
        <v>236</v>
      </c>
      <c r="B24" s="147">
        <v>16659</v>
      </c>
      <c r="C24" s="147" t="s">
        <v>260</v>
      </c>
      <c r="E24" s="145" t="s">
        <v>236</v>
      </c>
      <c r="F24" s="147">
        <v>16656</v>
      </c>
      <c r="G24" s="147" t="s">
        <v>260</v>
      </c>
    </row>
    <row r="25" spans="1:10" s="137" customFormat="1" ht="25" customHeight="1" x14ac:dyDescent="0.2">
      <c r="A25" s="145" t="s">
        <v>237</v>
      </c>
      <c r="B25" s="147" t="s">
        <v>245</v>
      </c>
      <c r="C25" s="147" t="s">
        <v>259</v>
      </c>
      <c r="E25" s="145" t="s">
        <v>237</v>
      </c>
      <c r="F25" s="147" t="s">
        <v>245</v>
      </c>
      <c r="G25" s="147" t="s">
        <v>259</v>
      </c>
    </row>
    <row r="26" spans="1:10" s="137" customFormat="1" ht="25" customHeight="1" x14ac:dyDescent="0.2">
      <c r="A26" s="145" t="s">
        <v>238</v>
      </c>
      <c r="B26" s="147">
        <v>2</v>
      </c>
      <c r="C26" s="147" t="s">
        <v>259</v>
      </c>
      <c r="E26" s="145" t="s">
        <v>238</v>
      </c>
      <c r="F26" s="147">
        <v>2</v>
      </c>
      <c r="G26" s="147" t="s">
        <v>259</v>
      </c>
    </row>
    <row r="27" spans="1:10" s="137" customFormat="1" ht="25" customHeight="1" x14ac:dyDescent="0.2">
      <c r="A27" s="145" t="s">
        <v>217</v>
      </c>
      <c r="B27" s="147">
        <v>10</v>
      </c>
      <c r="C27" s="147" t="s">
        <v>239</v>
      </c>
      <c r="E27" s="145" t="s">
        <v>217</v>
      </c>
      <c r="F27" s="147">
        <v>10</v>
      </c>
      <c r="G27" s="147" t="s">
        <v>239</v>
      </c>
    </row>
    <row r="28" spans="1:10" s="137" customFormat="1" ht="25" customHeight="1" x14ac:dyDescent="0.2">
      <c r="A28" s="145" t="s">
        <v>243</v>
      </c>
      <c r="B28" s="147">
        <v>14482</v>
      </c>
      <c r="C28" s="147" t="s">
        <v>7</v>
      </c>
      <c r="E28" s="145" t="s">
        <v>243</v>
      </c>
      <c r="F28" s="147">
        <v>13204</v>
      </c>
      <c r="G28" s="147" t="s">
        <v>244</v>
      </c>
    </row>
    <row r="29" spans="1:10" s="137" customFormat="1" ht="25" customHeight="1" x14ac:dyDescent="0.2">
      <c r="A29" s="145" t="s">
        <v>246</v>
      </c>
      <c r="B29" s="147">
        <v>0.43</v>
      </c>
      <c r="C29" s="147" t="s">
        <v>248</v>
      </c>
      <c r="E29" s="145" t="s">
        <v>246</v>
      </c>
      <c r="F29" s="147">
        <v>0.4</v>
      </c>
      <c r="G29" s="147" t="s">
        <v>248</v>
      </c>
    </row>
    <row r="30" spans="1:10" s="137" customFormat="1" ht="25" customHeight="1" x14ac:dyDescent="0.2">
      <c r="A30" s="145" t="s">
        <v>247</v>
      </c>
      <c r="B30" s="147">
        <v>0.06</v>
      </c>
      <c r="C30" s="147" t="s">
        <v>248</v>
      </c>
      <c r="E30" s="145" t="s">
        <v>247</v>
      </c>
      <c r="F30" s="147">
        <v>0.05</v>
      </c>
      <c r="G30" s="147" t="s">
        <v>248</v>
      </c>
    </row>
    <row r="31" spans="1:10" s="137" customFormat="1" ht="25" customHeight="1" x14ac:dyDescent="0.2">
      <c r="A31" s="145" t="s">
        <v>251</v>
      </c>
      <c r="B31" s="147">
        <v>45021</v>
      </c>
      <c r="C31" s="147" t="s">
        <v>252</v>
      </c>
      <c r="E31" s="145" t="s">
        <v>251</v>
      </c>
      <c r="F31" s="147">
        <v>46589</v>
      </c>
      <c r="G31" s="147" t="s">
        <v>252</v>
      </c>
    </row>
    <row r="32" spans="1:10" x14ac:dyDescent="0.2">
      <c r="A32" s="308" t="s">
        <v>364</v>
      </c>
      <c r="B32" s="309"/>
      <c r="C32" s="310"/>
      <c r="D32" s="113"/>
      <c r="E32" s="113"/>
      <c r="F32" s="149"/>
      <c r="G32" s="150"/>
    </row>
    <row r="33" spans="1:9" x14ac:dyDescent="0.2">
      <c r="A33" s="118">
        <f>(B28-F28)/B28</f>
        <v>8.824747962988537E-2</v>
      </c>
      <c r="B33" s="301" t="s">
        <v>250</v>
      </c>
      <c r="C33" s="146"/>
    </row>
    <row r="36" spans="1:9" x14ac:dyDescent="0.2">
      <c r="I36" s="115"/>
    </row>
    <row r="37" spans="1:9" x14ac:dyDescent="0.2">
      <c r="C37" s="115"/>
      <c r="I37" s="116"/>
    </row>
  </sheetData>
  <mergeCells count="3">
    <mergeCell ref="A32:C32"/>
    <mergeCell ref="D5:E5"/>
    <mergeCell ref="D11:E11"/>
  </mergeCells>
  <phoneticPr fontId="18" type="noConversion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645B-3269-4082-A45A-BCDDB140DE5F}">
  <dimension ref="A1:N39"/>
  <sheetViews>
    <sheetView showGridLines="0" zoomScale="85" zoomScaleNormal="85" workbookViewId="0">
      <selection activeCell="I30" sqref="I30"/>
    </sheetView>
  </sheetViews>
  <sheetFormatPr baseColWidth="10" defaultColWidth="8.83203125" defaultRowHeight="15" x14ac:dyDescent="0.2"/>
  <cols>
    <col min="1" max="1" width="8.83203125" style="93" customWidth="1"/>
    <col min="2" max="2" width="12" style="93" customWidth="1"/>
    <col min="3" max="3" width="10.83203125" style="93" customWidth="1"/>
    <col min="4" max="4" width="11" style="93" customWidth="1"/>
    <col min="5" max="5" width="11.33203125" style="93" customWidth="1"/>
    <col min="6" max="6" width="9.5" style="93" customWidth="1"/>
    <col min="7" max="7" width="11.83203125" style="93" customWidth="1"/>
    <col min="8" max="8" width="11.1640625" style="93" customWidth="1"/>
    <col min="9" max="9" width="16.33203125" style="93" customWidth="1"/>
    <col min="10" max="10" width="12" style="93" customWidth="1"/>
    <col min="11" max="11" width="13" style="93" customWidth="1"/>
    <col min="12" max="12" width="10" style="93" customWidth="1"/>
    <col min="13" max="14" width="14.1640625" style="93" customWidth="1"/>
    <col min="15" max="15" width="13.1640625" style="93" bestFit="1" customWidth="1"/>
    <col min="16" max="16384" width="8.83203125" style="93"/>
  </cols>
  <sheetData>
    <row r="1" spans="1:14" x14ac:dyDescent="0.2">
      <c r="A1" s="96" t="s">
        <v>357</v>
      </c>
    </row>
    <row r="2" spans="1:14" x14ac:dyDescent="0.2">
      <c r="A2" s="97" t="s">
        <v>358</v>
      </c>
    </row>
    <row r="3" spans="1:14" ht="19" x14ac:dyDescent="0.25">
      <c r="A3" s="119"/>
      <c r="B3" s="119"/>
    </row>
    <row r="4" spans="1:14" s="120" customFormat="1" x14ac:dyDescent="0.2">
      <c r="A4" s="96" t="s">
        <v>366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</row>
    <row r="5" spans="1:14" x14ac:dyDescent="0.2">
      <c r="A5" s="322" t="s">
        <v>163</v>
      </c>
      <c r="B5" s="323"/>
      <c r="C5" s="323"/>
      <c r="D5" s="323"/>
      <c r="E5" s="323"/>
      <c r="F5" s="323"/>
      <c r="G5" s="323"/>
      <c r="H5" s="323"/>
      <c r="I5" s="324"/>
      <c r="J5" s="322" t="s">
        <v>164</v>
      </c>
      <c r="K5" s="323"/>
      <c r="L5" s="324"/>
      <c r="M5" s="325" t="s">
        <v>165</v>
      </c>
      <c r="N5" s="326"/>
    </row>
    <row r="6" spans="1:14" s="137" customFormat="1" ht="30" x14ac:dyDescent="0.2">
      <c r="A6" s="122" t="s">
        <v>253</v>
      </c>
      <c r="B6" s="122" t="s">
        <v>171</v>
      </c>
      <c r="C6" s="122" t="s">
        <v>255</v>
      </c>
      <c r="D6" s="122" t="s">
        <v>365</v>
      </c>
      <c r="E6" s="122" t="s">
        <v>168</v>
      </c>
      <c r="F6" s="122" t="s">
        <v>169</v>
      </c>
      <c r="G6" s="122" t="s">
        <v>254</v>
      </c>
      <c r="H6" s="122" t="s">
        <v>170</v>
      </c>
      <c r="I6" s="122" t="s">
        <v>172</v>
      </c>
      <c r="J6" s="122" t="s">
        <v>173</v>
      </c>
      <c r="K6" s="122" t="s">
        <v>174</v>
      </c>
      <c r="L6" s="122" t="s">
        <v>175</v>
      </c>
      <c r="M6" s="122" t="s">
        <v>176</v>
      </c>
      <c r="N6" s="122" t="s">
        <v>177</v>
      </c>
    </row>
    <row r="7" spans="1:14" s="121" customFormat="1" ht="13" x14ac:dyDescent="0.15">
      <c r="A7" s="320" t="s">
        <v>179</v>
      </c>
      <c r="B7" s="117" t="s">
        <v>181</v>
      </c>
      <c r="C7" s="104">
        <v>5</v>
      </c>
      <c r="D7" s="105">
        <v>0.8</v>
      </c>
      <c r="E7" s="102">
        <v>160</v>
      </c>
      <c r="F7" s="102">
        <v>1000</v>
      </c>
      <c r="G7" s="102">
        <v>9.81</v>
      </c>
      <c r="H7" s="102">
        <v>1000</v>
      </c>
      <c r="I7" s="124">
        <f>(E7*F7*G7*D7*K7)/1000000</f>
        <v>7.8063837987432043</v>
      </c>
      <c r="J7" s="101">
        <f>(C7*1000000)/(E7*F7*G7*D7)</f>
        <v>3.9819062181447502</v>
      </c>
      <c r="K7" s="101">
        <f>(0.0074*(E7*3.28084)+16.512)*0.3048</f>
        <v>6.2168576378880003</v>
      </c>
      <c r="L7" s="101">
        <f>SQRT((4*J7)/(K7*PI()))</f>
        <v>0.90305689266089006</v>
      </c>
      <c r="M7" s="101">
        <v>10</v>
      </c>
      <c r="N7" s="100">
        <f>J7*(M7*3600)</f>
        <v>143348.623853211</v>
      </c>
    </row>
    <row r="8" spans="1:14" s="121" customFormat="1" ht="13" x14ac:dyDescent="0.15">
      <c r="A8" s="321"/>
      <c r="B8" s="117" t="s">
        <v>181</v>
      </c>
      <c r="C8" s="104">
        <v>5</v>
      </c>
      <c r="D8" s="105">
        <v>0.8</v>
      </c>
      <c r="E8" s="102">
        <v>160</v>
      </c>
      <c r="F8" s="102">
        <v>1000</v>
      </c>
      <c r="G8" s="102">
        <v>9.81</v>
      </c>
      <c r="H8" s="102">
        <v>1000</v>
      </c>
      <c r="I8" s="124">
        <f>(E8*F8*G8*D8*K8)/1000000</f>
        <v>7.8063837987432043</v>
      </c>
      <c r="J8" s="101">
        <f>(C8*1000000)/(E8*F8*G8*D8)</f>
        <v>3.9819062181447502</v>
      </c>
      <c r="K8" s="101">
        <f>(0.0074*(E8*3.28084)+16.512)*0.3048</f>
        <v>6.2168576378880003</v>
      </c>
      <c r="L8" s="101">
        <f>SQRT((4*J8)/(K8*PI()))</f>
        <v>0.90305689266089006</v>
      </c>
      <c r="M8" s="101">
        <v>10</v>
      </c>
      <c r="N8" s="100">
        <f>J8*(M8*3600)</f>
        <v>143348.623853211</v>
      </c>
    </row>
    <row r="9" spans="1:14" s="121" customFormat="1" ht="13" x14ac:dyDescent="0.15">
      <c r="A9" s="125" t="s">
        <v>54</v>
      </c>
      <c r="B9" s="117" t="s">
        <v>181</v>
      </c>
      <c r="C9" s="104">
        <v>10</v>
      </c>
      <c r="D9" s="105">
        <v>0.8</v>
      </c>
      <c r="E9" s="102">
        <v>160</v>
      </c>
      <c r="F9" s="102">
        <v>1000</v>
      </c>
      <c r="G9" s="102">
        <v>9.81</v>
      </c>
      <c r="H9" s="102">
        <v>1000</v>
      </c>
      <c r="I9" s="124">
        <f>(E9*F9*G9*D9*K9)/1000000</f>
        <v>7.8063837987432043</v>
      </c>
      <c r="J9" s="101">
        <f>(C9*1000000)/(E9*F9*G9*D9)</f>
        <v>7.9638124362895004</v>
      </c>
      <c r="K9" s="101">
        <f>(0.0074*(E9*3.28084)+16.512)*0.3048</f>
        <v>6.2168576378880003</v>
      </c>
      <c r="L9" s="101">
        <f>SQRT((4*J9)/(K9*PI()))</f>
        <v>1.2771153051955351</v>
      </c>
      <c r="M9" s="101">
        <v>10</v>
      </c>
      <c r="N9" s="100">
        <f>J9*(M9*3600)</f>
        <v>286697.247706422</v>
      </c>
    </row>
    <row r="10" spans="1:14" s="114" customFormat="1" x14ac:dyDescent="0.2"/>
    <row r="11" spans="1:14" s="126" customFormat="1" x14ac:dyDescent="0.15">
      <c r="A11" s="96" t="s">
        <v>367</v>
      </c>
      <c r="B11" s="123"/>
      <c r="C11" s="123"/>
      <c r="D11" s="123"/>
      <c r="E11" s="123"/>
      <c r="F11" s="123"/>
      <c r="G11" s="123"/>
      <c r="K11" s="127"/>
    </row>
    <row r="12" spans="1:14" s="114" customFormat="1" x14ac:dyDescent="0.2">
      <c r="A12" s="316" t="s">
        <v>184</v>
      </c>
      <c r="B12" s="318"/>
      <c r="C12" s="318"/>
      <c r="D12" s="317"/>
      <c r="E12" s="316" t="s">
        <v>185</v>
      </c>
      <c r="F12" s="318"/>
      <c r="G12" s="317"/>
    </row>
    <row r="13" spans="1:14" s="114" customFormat="1" ht="30" x14ac:dyDescent="0.2">
      <c r="A13" s="122" t="s">
        <v>167</v>
      </c>
      <c r="B13" s="122" t="s">
        <v>186</v>
      </c>
      <c r="C13" s="122" t="s">
        <v>187</v>
      </c>
      <c r="D13" s="122" t="s">
        <v>188</v>
      </c>
      <c r="E13" s="122" t="s">
        <v>189</v>
      </c>
      <c r="F13" s="122" t="s">
        <v>190</v>
      </c>
      <c r="G13" s="122" t="s">
        <v>191</v>
      </c>
      <c r="J13" s="327" t="s">
        <v>166</v>
      </c>
      <c r="K13" s="327"/>
      <c r="L13" s="327"/>
    </row>
    <row r="14" spans="1:14" s="114" customFormat="1" x14ac:dyDescent="0.2">
      <c r="A14" s="125" t="s">
        <v>180</v>
      </c>
      <c r="B14" s="100">
        <v>136806.45000000001</v>
      </c>
      <c r="C14" s="102">
        <v>16</v>
      </c>
      <c r="D14" s="103">
        <f>(B14/B16)*D16</f>
        <v>1460.8600297953199</v>
      </c>
      <c r="E14" s="104">
        <f>(D14*1000000)/1000</f>
        <v>1460860.0297953198</v>
      </c>
      <c r="F14" s="104">
        <f>E14*0.1</f>
        <v>146086.00297953197</v>
      </c>
      <c r="G14" s="101">
        <f>F14/B14</f>
        <v>1.0678297915012922</v>
      </c>
      <c r="J14" s="99" t="s">
        <v>178</v>
      </c>
      <c r="K14" s="139"/>
      <c r="L14" s="140"/>
    </row>
    <row r="15" spans="1:14" s="114" customFormat="1" x14ac:dyDescent="0.2">
      <c r="A15" s="125" t="s">
        <v>183</v>
      </c>
      <c r="B15" s="100">
        <v>176913.96</v>
      </c>
      <c r="C15" s="102">
        <v>16</v>
      </c>
      <c r="D15" s="103">
        <f>(B15/B16)*D16</f>
        <v>1889.1399702046799</v>
      </c>
      <c r="E15" s="104">
        <f>(D15*1000000)/1000</f>
        <v>1889139.97020468</v>
      </c>
      <c r="F15" s="104">
        <f>E15*0.1</f>
        <v>188913.997020468</v>
      </c>
      <c r="G15" s="101">
        <f>F15/B15</f>
        <v>1.0678297915012926</v>
      </c>
      <c r="J15" s="99" t="s">
        <v>182</v>
      </c>
      <c r="K15" s="139"/>
      <c r="L15" s="140"/>
    </row>
    <row r="16" spans="1:14" s="114" customFormat="1" x14ac:dyDescent="0.2">
      <c r="A16" s="125" t="s">
        <v>193</v>
      </c>
      <c r="B16" s="100">
        <f>B14+B15</f>
        <v>313720.41000000003</v>
      </c>
      <c r="C16" s="102">
        <v>16</v>
      </c>
      <c r="D16" s="102">
        <v>3350</v>
      </c>
      <c r="E16" s="104">
        <f>E14+E15</f>
        <v>3350000</v>
      </c>
      <c r="F16" s="104">
        <f>F14+F15</f>
        <v>335000</v>
      </c>
      <c r="G16" s="101">
        <f>AVERAGE(G14:G15)</f>
        <v>1.0678297915012924</v>
      </c>
    </row>
    <row r="17" spans="1:13" s="114" customFormat="1" x14ac:dyDescent="0.2">
      <c r="A17" s="128"/>
      <c r="B17" s="129"/>
      <c r="C17" s="130"/>
      <c r="D17" s="128"/>
      <c r="E17" s="130"/>
      <c r="F17" s="128"/>
      <c r="G17" s="131"/>
      <c r="H17" s="131"/>
      <c r="I17" s="132"/>
      <c r="J17" s="131"/>
      <c r="K17" s="132"/>
    </row>
    <row r="18" spans="1:13" s="126" customFormat="1" x14ac:dyDescent="0.15">
      <c r="A18" s="96" t="s">
        <v>368</v>
      </c>
      <c r="B18" s="127"/>
      <c r="C18" s="127"/>
      <c r="D18" s="127"/>
      <c r="E18" s="127"/>
      <c r="F18" s="127"/>
      <c r="G18" s="127"/>
      <c r="I18" s="133"/>
    </row>
    <row r="19" spans="1:13" s="114" customFormat="1" ht="30" x14ac:dyDescent="0.2">
      <c r="A19" s="316" t="s">
        <v>167</v>
      </c>
      <c r="B19" s="317"/>
      <c r="C19" s="122" t="s">
        <v>186</v>
      </c>
      <c r="D19" s="122" t="s">
        <v>187</v>
      </c>
      <c r="E19" s="122" t="s">
        <v>188</v>
      </c>
      <c r="F19" s="316" t="s">
        <v>189</v>
      </c>
      <c r="G19" s="317"/>
      <c r="H19" s="128"/>
    </row>
    <row r="20" spans="1:13" s="114" customFormat="1" x14ac:dyDescent="0.2">
      <c r="A20" s="125" t="s">
        <v>179</v>
      </c>
      <c r="B20" s="102" t="s">
        <v>194</v>
      </c>
      <c r="C20" s="104">
        <v>61162</v>
      </c>
      <c r="D20" s="102">
        <v>10</v>
      </c>
      <c r="E20" s="103">
        <f>($N$9*3*1000)/1000000</f>
        <v>860.09174311926608</v>
      </c>
      <c r="F20" s="319">
        <f>(E20*1000000)/1000</f>
        <v>860091.743119266</v>
      </c>
      <c r="G20" s="319"/>
      <c r="H20" s="128"/>
    </row>
    <row r="21" spans="1:13" s="114" customFormat="1" x14ac:dyDescent="0.2">
      <c r="A21" s="125" t="s">
        <v>195</v>
      </c>
      <c r="B21" s="102" t="s">
        <v>194</v>
      </c>
      <c r="C21" s="104">
        <f>F21/D21</f>
        <v>53755.733944954125</v>
      </c>
      <c r="D21" s="102">
        <v>16</v>
      </c>
      <c r="E21" s="103">
        <f>($N$9*3*1000)/1000000</f>
        <v>860.09174311926608</v>
      </c>
      <c r="F21" s="319">
        <f t="shared" ref="F21" si="0">(E21*1000000)/1000</f>
        <v>860091.743119266</v>
      </c>
      <c r="G21" s="319"/>
    </row>
    <row r="22" spans="1:13" s="114" customFormat="1" x14ac:dyDescent="0.2"/>
    <row r="23" spans="1:13" s="114" customFormat="1" x14ac:dyDescent="0.15">
      <c r="A23" s="96" t="s">
        <v>369</v>
      </c>
      <c r="F23" s="134"/>
      <c r="G23" s="86"/>
      <c r="H23" s="292"/>
      <c r="I23" s="292"/>
      <c r="J23" s="292"/>
      <c r="K23" s="86"/>
      <c r="L23" s="292"/>
      <c r="M23" s="292"/>
    </row>
    <row r="24" spans="1:13" s="126" customFormat="1" x14ac:dyDescent="0.2">
      <c r="A24" s="316" t="s">
        <v>196</v>
      </c>
      <c r="B24" s="318"/>
      <c r="C24" s="317"/>
      <c r="D24" s="122" t="s">
        <v>197</v>
      </c>
      <c r="E24" s="122" t="s">
        <v>198</v>
      </c>
      <c r="G24" s="314"/>
      <c r="H24" s="314"/>
      <c r="I24" s="293"/>
      <c r="J24" s="294"/>
      <c r="K24" s="314"/>
      <c r="L24" s="314"/>
      <c r="M24" s="293"/>
    </row>
    <row r="25" spans="1:13" s="126" customFormat="1" ht="25" customHeight="1" x14ac:dyDescent="0.2">
      <c r="A25" s="315" t="s">
        <v>199</v>
      </c>
      <c r="B25" s="315"/>
      <c r="C25" s="315"/>
      <c r="D25" s="152">
        <v>10</v>
      </c>
      <c r="E25" s="152" t="s">
        <v>2</v>
      </c>
      <c r="G25" s="313"/>
      <c r="H25" s="313"/>
    </row>
    <row r="26" spans="1:13" s="114" customFormat="1" ht="25" customHeight="1" x14ac:dyDescent="0.2">
      <c r="A26" s="315" t="s">
        <v>200</v>
      </c>
      <c r="B26" s="315"/>
      <c r="C26" s="315"/>
      <c r="D26" s="102" t="s">
        <v>181</v>
      </c>
      <c r="E26" s="102"/>
      <c r="G26" s="313"/>
      <c r="H26" s="313"/>
    </row>
    <row r="27" spans="1:13" s="114" customFormat="1" ht="25" customHeight="1" x14ac:dyDescent="0.2">
      <c r="A27" s="315" t="s">
        <v>201</v>
      </c>
      <c r="B27" s="315"/>
      <c r="C27" s="315"/>
      <c r="D27" s="102">
        <v>10</v>
      </c>
      <c r="E27" s="102" t="s">
        <v>202</v>
      </c>
      <c r="G27" s="313"/>
      <c r="H27" s="313"/>
    </row>
    <row r="28" spans="1:13" s="114" customFormat="1" ht="25" customHeight="1" x14ac:dyDescent="0.2">
      <c r="A28" s="315" t="s">
        <v>203</v>
      </c>
      <c r="B28" s="315"/>
      <c r="C28" s="315"/>
      <c r="D28" s="102">
        <v>10</v>
      </c>
      <c r="E28" s="102" t="s">
        <v>202</v>
      </c>
      <c r="G28" s="313"/>
      <c r="H28" s="313"/>
    </row>
    <row r="29" spans="1:13" s="114" customFormat="1" ht="25" customHeight="1" x14ac:dyDescent="0.2">
      <c r="A29" s="315" t="s">
        <v>204</v>
      </c>
      <c r="B29" s="315"/>
      <c r="C29" s="315"/>
      <c r="D29" s="102">
        <f>((F20/J9)/3600)*(C9)</f>
        <v>300</v>
      </c>
      <c r="E29" s="102" t="s">
        <v>192</v>
      </c>
      <c r="G29" s="313"/>
      <c r="H29" s="313"/>
    </row>
    <row r="30" spans="1:13" s="114" customFormat="1" ht="25" customHeight="1" x14ac:dyDescent="0.2">
      <c r="A30" s="315" t="s">
        <v>205</v>
      </c>
      <c r="B30" s="315"/>
      <c r="C30" s="315"/>
      <c r="D30" s="102">
        <v>1</v>
      </c>
      <c r="E30" s="102"/>
      <c r="G30" s="313"/>
      <c r="H30" s="313"/>
    </row>
    <row r="31" spans="1:13" s="114" customFormat="1" ht="25" customHeight="1" x14ac:dyDescent="0.2">
      <c r="A31" s="315" t="s">
        <v>206</v>
      </c>
      <c r="B31" s="315"/>
      <c r="C31" s="315"/>
      <c r="D31" s="102">
        <v>10</v>
      </c>
      <c r="E31" s="102" t="s">
        <v>2</v>
      </c>
      <c r="G31" s="313"/>
      <c r="H31" s="313"/>
    </row>
    <row r="32" spans="1:13" s="114" customFormat="1" ht="25" customHeight="1" x14ac:dyDescent="0.2">
      <c r="A32" s="315" t="s">
        <v>207</v>
      </c>
      <c r="B32" s="315"/>
      <c r="C32" s="315"/>
      <c r="D32" s="102">
        <v>160</v>
      </c>
      <c r="E32" s="102" t="s">
        <v>208</v>
      </c>
      <c r="G32" s="313"/>
      <c r="H32" s="313"/>
    </row>
    <row r="33" spans="1:13" s="114" customFormat="1" ht="25" customHeight="1" x14ac:dyDescent="0.2">
      <c r="A33" s="315" t="s">
        <v>209</v>
      </c>
      <c r="B33" s="315"/>
      <c r="C33" s="315"/>
      <c r="D33" s="152">
        <v>11</v>
      </c>
      <c r="E33" s="152" t="s">
        <v>2</v>
      </c>
      <c r="G33" s="313"/>
      <c r="H33" s="313"/>
    </row>
    <row r="34" spans="1:13" s="114" customFormat="1" ht="25" customHeight="1" x14ac:dyDescent="0.2">
      <c r="A34" s="315" t="s">
        <v>210</v>
      </c>
      <c r="B34" s="315"/>
      <c r="C34" s="315"/>
      <c r="D34" s="152">
        <v>160</v>
      </c>
      <c r="E34" s="152" t="s">
        <v>208</v>
      </c>
      <c r="G34" s="313"/>
      <c r="H34" s="313"/>
      <c r="I34" s="295"/>
      <c r="J34" s="296"/>
      <c r="K34" s="313"/>
      <c r="L34" s="313"/>
      <c r="M34" s="295"/>
    </row>
    <row r="35" spans="1:13" s="114" customFormat="1" ht="25" customHeight="1" x14ac:dyDescent="0.2">
      <c r="A35" s="315" t="s">
        <v>211</v>
      </c>
      <c r="B35" s="315"/>
      <c r="C35" s="315"/>
      <c r="D35" s="152">
        <v>155</v>
      </c>
      <c r="E35" s="152" t="s">
        <v>208</v>
      </c>
      <c r="G35" s="313"/>
      <c r="H35" s="313"/>
      <c r="I35" s="295"/>
      <c r="J35" s="296"/>
      <c r="K35" s="313"/>
      <c r="L35" s="313"/>
      <c r="M35" s="295"/>
    </row>
    <row r="36" spans="1:13" s="114" customFormat="1" ht="25" customHeight="1" x14ac:dyDescent="0.2">
      <c r="A36" s="315" t="s">
        <v>212</v>
      </c>
      <c r="B36" s="315"/>
      <c r="C36" s="315"/>
      <c r="D36" s="153">
        <f>(D35*G9*D9*J9)/1000</f>
        <v>9.6875000000000018</v>
      </c>
      <c r="E36" s="152" t="s">
        <v>2</v>
      </c>
      <c r="G36" s="313"/>
      <c r="H36" s="313"/>
      <c r="I36" s="295"/>
      <c r="J36" s="296"/>
      <c r="K36" s="313"/>
      <c r="L36" s="313"/>
      <c r="M36" s="295"/>
    </row>
    <row r="37" spans="1:13" s="114" customFormat="1" ht="25" customHeight="1" x14ac:dyDescent="0.2">
      <c r="A37" s="315" t="s">
        <v>213</v>
      </c>
      <c r="B37" s="315"/>
      <c r="C37" s="315"/>
      <c r="D37" s="152">
        <f>E9/H9</f>
        <v>0.16</v>
      </c>
      <c r="E37" s="152" t="s">
        <v>214</v>
      </c>
      <c r="G37" s="135"/>
    </row>
    <row r="38" spans="1:13" s="114" customFormat="1" ht="25" customHeight="1" x14ac:dyDescent="0.2">
      <c r="A38" s="315" t="s">
        <v>385</v>
      </c>
      <c r="B38" s="315"/>
      <c r="C38" s="315"/>
      <c r="D38" s="297">
        <v>0.8</v>
      </c>
      <c r="E38" s="298" t="s">
        <v>3</v>
      </c>
      <c r="G38" s="135"/>
    </row>
    <row r="39" spans="1:13" s="114" customFormat="1" x14ac:dyDescent="0.2">
      <c r="G39" s="136"/>
    </row>
  </sheetData>
  <mergeCells count="43">
    <mergeCell ref="A7:A8"/>
    <mergeCell ref="A5:I5"/>
    <mergeCell ref="J5:L5"/>
    <mergeCell ref="M5:N5"/>
    <mergeCell ref="J13:L13"/>
    <mergeCell ref="E12:G12"/>
    <mergeCell ref="A12:D12"/>
    <mergeCell ref="A19:B19"/>
    <mergeCell ref="F19:G19"/>
    <mergeCell ref="A24:C24"/>
    <mergeCell ref="F20:G20"/>
    <mergeCell ref="F21:G21"/>
    <mergeCell ref="G24:H24"/>
    <mergeCell ref="A25:C25"/>
    <mergeCell ref="A26:C26"/>
    <mergeCell ref="A27:C27"/>
    <mergeCell ref="A28:C28"/>
    <mergeCell ref="G25:H25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G36:H36"/>
    <mergeCell ref="K36:L36"/>
    <mergeCell ref="K24:L24"/>
    <mergeCell ref="G32:H32"/>
    <mergeCell ref="G34:H34"/>
    <mergeCell ref="G35:H35"/>
    <mergeCell ref="K34:L34"/>
    <mergeCell ref="K35:L35"/>
    <mergeCell ref="G26:H26"/>
    <mergeCell ref="G27:H27"/>
    <mergeCell ref="G28:H28"/>
    <mergeCell ref="G29:H29"/>
    <mergeCell ref="G30:H30"/>
    <mergeCell ref="G31:H31"/>
    <mergeCell ref="G33:H33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57C8E-B797-4690-8709-EC8E3DFA1B9A}">
  <sheetPr>
    <tabColor rgb="FFFFC000"/>
  </sheetPr>
  <dimension ref="B2:AJ69"/>
  <sheetViews>
    <sheetView zoomScale="70" zoomScaleNormal="70" workbookViewId="0">
      <selection activeCell="L10" sqref="L10"/>
    </sheetView>
  </sheetViews>
  <sheetFormatPr baseColWidth="10" defaultColWidth="8.83203125" defaultRowHeight="15" x14ac:dyDescent="0.2"/>
  <cols>
    <col min="1" max="1" width="4.83203125" style="1" customWidth="1"/>
    <col min="2" max="2" width="23.83203125" style="1" bestFit="1" customWidth="1"/>
    <col min="3" max="3" width="9" style="2" bestFit="1" customWidth="1"/>
    <col min="4" max="4" width="13.5" style="1" bestFit="1" customWidth="1"/>
    <col min="5" max="5" width="15.5" style="1" bestFit="1" customWidth="1"/>
    <col min="6" max="6" width="14.1640625" style="1" bestFit="1" customWidth="1"/>
    <col min="7" max="7" width="14.5" style="1" bestFit="1" customWidth="1"/>
    <col min="8" max="8" width="14.1640625" style="1" bestFit="1" customWidth="1"/>
    <col min="9" max="9" width="16.1640625" style="1" bestFit="1" customWidth="1"/>
    <col min="10" max="11" width="14.83203125" style="1" bestFit="1" customWidth="1"/>
    <col min="12" max="16" width="14.1640625" style="1" bestFit="1" customWidth="1"/>
    <col min="17" max="20" width="13.1640625" style="1" bestFit="1" customWidth="1"/>
    <col min="21" max="36" width="13.83203125" style="1" bestFit="1" customWidth="1"/>
    <col min="37" max="16384" width="8.83203125" style="1"/>
  </cols>
  <sheetData>
    <row r="2" spans="2:36" x14ac:dyDescent="0.2">
      <c r="B2" s="42" t="s">
        <v>41</v>
      </c>
      <c r="C2" s="43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</row>
    <row r="3" spans="2:36" x14ac:dyDescent="0.2">
      <c r="B3" s="39"/>
      <c r="C3" s="25"/>
      <c r="D3" s="39" t="s">
        <v>0</v>
      </c>
    </row>
    <row r="4" spans="2:36" x14ac:dyDescent="0.2">
      <c r="B4" s="3" t="s">
        <v>1</v>
      </c>
      <c r="C4" s="4">
        <v>10</v>
      </c>
      <c r="D4" s="1" t="s">
        <v>40</v>
      </c>
    </row>
    <row r="5" spans="2:36" x14ac:dyDescent="0.2">
      <c r="B5" s="3" t="s">
        <v>6</v>
      </c>
      <c r="C5" s="2">
        <v>14437</v>
      </c>
      <c r="D5" s="3" t="s">
        <v>7</v>
      </c>
    </row>
    <row r="6" spans="2:36" x14ac:dyDescent="0.2">
      <c r="B6" s="3" t="s">
        <v>57</v>
      </c>
      <c r="C6" s="5">
        <v>1270</v>
      </c>
      <c r="D6" s="62" t="s">
        <v>5</v>
      </c>
    </row>
    <row r="7" spans="2:36" x14ac:dyDescent="0.2">
      <c r="B7" s="3" t="s">
        <v>58</v>
      </c>
      <c r="C7" s="5">
        <v>18</v>
      </c>
      <c r="D7" s="62" t="s">
        <v>59</v>
      </c>
      <c r="E7" s="38" t="s">
        <v>63</v>
      </c>
      <c r="F7" s="63"/>
      <c r="M7" s="328"/>
      <c r="N7" s="328"/>
    </row>
    <row r="8" spans="2:36" x14ac:dyDescent="0.2">
      <c r="B8" s="3" t="s">
        <v>4</v>
      </c>
      <c r="C8" s="21">
        <v>0.03</v>
      </c>
      <c r="D8" s="1" t="s">
        <v>3</v>
      </c>
    </row>
    <row r="9" spans="2:36" x14ac:dyDescent="0.2">
      <c r="B9" s="3" t="s">
        <v>10</v>
      </c>
      <c r="C9" s="21">
        <v>5.0000000000000001E-3</v>
      </c>
      <c r="D9" s="1" t="s">
        <v>3</v>
      </c>
    </row>
    <row r="10" spans="2:36" x14ac:dyDescent="0.2">
      <c r="B10" s="3" t="s">
        <v>33</v>
      </c>
      <c r="C10" s="21">
        <v>0.06</v>
      </c>
      <c r="D10" s="1" t="s">
        <v>3</v>
      </c>
    </row>
    <row r="11" spans="2:36" x14ac:dyDescent="0.2">
      <c r="B11" s="17" t="s">
        <v>56</v>
      </c>
      <c r="C11" s="61">
        <v>1.7</v>
      </c>
      <c r="D11" s="1" t="s">
        <v>55</v>
      </c>
    </row>
    <row r="12" spans="2:36" x14ac:dyDescent="0.2">
      <c r="B12" s="3" t="s">
        <v>8</v>
      </c>
      <c r="C12" s="2">
        <v>30</v>
      </c>
      <c r="D12" s="1" t="s">
        <v>9</v>
      </c>
    </row>
    <row r="13" spans="2:36" x14ac:dyDescent="0.2">
      <c r="B13" s="3" t="s">
        <v>32</v>
      </c>
      <c r="C13" s="33">
        <f>E40</f>
        <v>0.14625131423884707</v>
      </c>
      <c r="D13" s="1" t="s">
        <v>15</v>
      </c>
    </row>
    <row r="14" spans="2:36" x14ac:dyDescent="0.2">
      <c r="B14" s="3"/>
      <c r="C14" s="33"/>
    </row>
    <row r="15" spans="2:36" x14ac:dyDescent="0.2">
      <c r="B15" s="3"/>
      <c r="C15" s="33"/>
    </row>
    <row r="17" spans="2:36" x14ac:dyDescent="0.2">
      <c r="B17" s="40" t="s">
        <v>38</v>
      </c>
      <c r="C17" s="41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</row>
    <row r="19" spans="2:36" customFormat="1" x14ac:dyDescent="0.2">
      <c r="B19" s="70" t="s">
        <v>8</v>
      </c>
      <c r="C19" s="42"/>
      <c r="D19" s="71"/>
      <c r="E19" s="71"/>
      <c r="F19" s="71">
        <v>0</v>
      </c>
      <c r="G19" s="71">
        <v>1</v>
      </c>
      <c r="H19" s="71">
        <v>2</v>
      </c>
      <c r="I19" s="71">
        <v>3</v>
      </c>
      <c r="J19" s="71">
        <v>4</v>
      </c>
      <c r="K19" s="71">
        <v>5</v>
      </c>
      <c r="L19" s="71">
        <v>6</v>
      </c>
      <c r="M19" s="71">
        <v>7</v>
      </c>
      <c r="N19" s="71">
        <v>8</v>
      </c>
      <c r="O19" s="71">
        <v>9</v>
      </c>
      <c r="P19" s="71">
        <v>10</v>
      </c>
      <c r="Q19" s="71">
        <v>11</v>
      </c>
      <c r="R19" s="71">
        <v>12</v>
      </c>
      <c r="S19" s="71">
        <v>13</v>
      </c>
      <c r="T19" s="71">
        <v>14</v>
      </c>
      <c r="U19" s="71">
        <v>15</v>
      </c>
      <c r="V19" s="71">
        <v>16</v>
      </c>
      <c r="W19" s="71">
        <v>17</v>
      </c>
      <c r="X19" s="71">
        <v>18</v>
      </c>
      <c r="Y19" s="71">
        <v>19</v>
      </c>
      <c r="Z19" s="71">
        <v>20</v>
      </c>
      <c r="AA19" s="71">
        <v>21</v>
      </c>
      <c r="AB19" s="71">
        <v>22</v>
      </c>
      <c r="AC19" s="71">
        <v>23</v>
      </c>
      <c r="AD19" s="71">
        <v>24</v>
      </c>
      <c r="AE19" s="71">
        <v>25</v>
      </c>
      <c r="AF19" s="71">
        <v>26</v>
      </c>
      <c r="AG19" s="71">
        <v>27</v>
      </c>
      <c r="AH19" s="71">
        <v>28</v>
      </c>
      <c r="AI19" s="71">
        <v>29</v>
      </c>
      <c r="AJ19" s="71">
        <v>30</v>
      </c>
    </row>
    <row r="20" spans="2:36" customFormat="1" x14ac:dyDescent="0.2">
      <c r="B20" s="7"/>
      <c r="C20" s="8"/>
      <c r="D20" s="8"/>
      <c r="E20" s="9" t="s">
        <v>11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2:36" customFormat="1" x14ac:dyDescent="0.2">
      <c r="B21" s="3" t="s">
        <v>16</v>
      </c>
      <c r="C21" s="8"/>
      <c r="D21" s="8"/>
      <c r="G21" s="11">
        <v>5.0000000000000001E-3</v>
      </c>
      <c r="H21" s="11">
        <v>5.0000000000000001E-3</v>
      </c>
      <c r="I21" s="11">
        <v>5.0000000000000001E-3</v>
      </c>
      <c r="J21" s="11">
        <v>5.0000000000000001E-3</v>
      </c>
      <c r="K21" s="11">
        <v>5.0000000000000001E-3</v>
      </c>
      <c r="L21" s="11">
        <v>5.0000000000000001E-3</v>
      </c>
      <c r="M21" s="11">
        <v>5.0000000000000001E-3</v>
      </c>
      <c r="N21" s="11">
        <v>5.0000000000000001E-3</v>
      </c>
      <c r="O21" s="11">
        <v>5.0000000000000001E-3</v>
      </c>
      <c r="P21" s="11">
        <v>5.0000000000000001E-3</v>
      </c>
      <c r="Q21" s="11">
        <v>5.0000000000000001E-3</v>
      </c>
      <c r="R21" s="11">
        <v>5.0000000000000001E-3</v>
      </c>
      <c r="S21" s="11">
        <v>5.0000000000000001E-3</v>
      </c>
      <c r="T21" s="11">
        <v>5.0000000000000001E-3</v>
      </c>
      <c r="U21" s="11">
        <v>5.0000000000000001E-3</v>
      </c>
      <c r="V21" s="11">
        <v>5.0000000000000001E-3</v>
      </c>
      <c r="W21" s="11">
        <v>5.0000000000000001E-3</v>
      </c>
      <c r="X21" s="11">
        <v>5.0000000000000001E-3</v>
      </c>
      <c r="Y21" s="11">
        <v>5.0000000000000001E-3</v>
      </c>
      <c r="Z21" s="11">
        <v>5.0000000000000001E-3</v>
      </c>
      <c r="AA21" s="11">
        <v>5.0000000000000001E-3</v>
      </c>
      <c r="AB21" s="11">
        <v>5.0000000000000001E-3</v>
      </c>
      <c r="AC21" s="11">
        <v>5.0000000000000001E-3</v>
      </c>
      <c r="AD21" s="11">
        <v>5.0000000000000001E-3</v>
      </c>
      <c r="AE21" s="11">
        <v>5.0000000000000001E-3</v>
      </c>
      <c r="AF21" s="11">
        <v>5.0000000000000001E-3</v>
      </c>
      <c r="AG21" s="11">
        <v>5.0000000000000001E-3</v>
      </c>
      <c r="AH21" s="11">
        <v>5.0000000000000001E-3</v>
      </c>
      <c r="AI21" s="11">
        <v>5.0000000000000001E-3</v>
      </c>
      <c r="AJ21" s="11">
        <v>5.0000000000000001E-3</v>
      </c>
    </row>
    <row r="22" spans="2:36" customFormat="1" x14ac:dyDescent="0.2">
      <c r="B22" s="3" t="s">
        <v>12</v>
      </c>
      <c r="C22" s="8"/>
      <c r="D22" s="8"/>
      <c r="E22" s="12">
        <f>NPV($C$10,G22:AJ22)+F22</f>
        <v>187891425.65698245</v>
      </c>
      <c r="G22" s="13">
        <f>$C$5*1000*(1-G21)</f>
        <v>14364815</v>
      </c>
      <c r="H22" s="13">
        <f t="shared" ref="H22:Z22" si="0">G22*(1-H21)</f>
        <v>14292990.925000001</v>
      </c>
      <c r="I22" s="13">
        <f t="shared" si="0"/>
        <v>14221525.970375001</v>
      </c>
      <c r="J22" s="13">
        <f t="shared" si="0"/>
        <v>14150418.340523126</v>
      </c>
      <c r="K22" s="13">
        <f t="shared" si="0"/>
        <v>14079666.24882051</v>
      </c>
      <c r="L22" s="13">
        <f t="shared" si="0"/>
        <v>14009267.917576408</v>
      </c>
      <c r="M22" s="13">
        <f t="shared" si="0"/>
        <v>13939221.577988526</v>
      </c>
      <c r="N22" s="13">
        <f t="shared" si="0"/>
        <v>13869525.470098583</v>
      </c>
      <c r="O22" s="13">
        <f t="shared" si="0"/>
        <v>13800177.842748091</v>
      </c>
      <c r="P22" s="13">
        <f t="shared" si="0"/>
        <v>13731176.95353435</v>
      </c>
      <c r="Q22" s="13">
        <f t="shared" si="0"/>
        <v>13662521.068766678</v>
      </c>
      <c r="R22" s="13">
        <f t="shared" si="0"/>
        <v>13594208.463422844</v>
      </c>
      <c r="S22" s="13">
        <f t="shared" si="0"/>
        <v>13526237.421105729</v>
      </c>
      <c r="T22" s="13">
        <f t="shared" si="0"/>
        <v>13458606.2340002</v>
      </c>
      <c r="U22" s="13">
        <f t="shared" si="0"/>
        <v>13391313.202830199</v>
      </c>
      <c r="V22" s="13">
        <f t="shared" si="0"/>
        <v>13324356.636816049</v>
      </c>
      <c r="W22" s="13">
        <f t="shared" si="0"/>
        <v>13257734.85363197</v>
      </c>
      <c r="X22" s="13">
        <f t="shared" si="0"/>
        <v>13191446.17936381</v>
      </c>
      <c r="Y22" s="13">
        <f t="shared" si="0"/>
        <v>13125488.94846699</v>
      </c>
      <c r="Z22" s="13">
        <f t="shared" si="0"/>
        <v>13059861.503724655</v>
      </c>
      <c r="AA22" s="13">
        <f t="shared" ref="AA22" si="1">Z22*(1-AA21)</f>
        <v>12994562.196206031</v>
      </c>
      <c r="AB22" s="13">
        <f t="shared" ref="AB22" si="2">AA22*(1-AB21)</f>
        <v>12929589.385225002</v>
      </c>
      <c r="AC22" s="13">
        <f t="shared" ref="AC22" si="3">AB22*(1-AC21)</f>
        <v>12864941.438298877</v>
      </c>
      <c r="AD22" s="13">
        <f t="shared" ref="AD22" si="4">AC22*(1-AD21)</f>
        <v>12800616.731107382</v>
      </c>
      <c r="AE22" s="13">
        <f t="shared" ref="AE22" si="5">AD22*(1-AE21)</f>
        <v>12736613.647451846</v>
      </c>
      <c r="AF22" s="13">
        <f t="shared" ref="AF22" si="6">AE22*(1-AF21)</f>
        <v>12672930.579214586</v>
      </c>
      <c r="AG22" s="13">
        <f t="shared" ref="AG22" si="7">AF22*(1-AG21)</f>
        <v>12609565.926318513</v>
      </c>
      <c r="AH22" s="13">
        <f t="shared" ref="AH22" si="8">AG22*(1-AH21)</f>
        <v>12546518.09668692</v>
      </c>
      <c r="AI22" s="13">
        <f t="shared" ref="AI22" si="9">AH22*(1-AI21)</f>
        <v>12483785.506203486</v>
      </c>
      <c r="AJ22" s="13">
        <f t="shared" ref="AJ22" si="10">AI22*(1-AJ21)</f>
        <v>12421366.578672469</v>
      </c>
    </row>
    <row r="23" spans="2:36" customFormat="1" x14ac:dyDescent="0.2">
      <c r="B23" s="3"/>
      <c r="C23" s="8"/>
      <c r="D23" s="8"/>
      <c r="E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2:36" customFormat="1" x14ac:dyDescent="0.2">
      <c r="B24" s="3" t="s">
        <v>4</v>
      </c>
      <c r="C24" s="8"/>
      <c r="D24" s="8"/>
      <c r="E24" s="12"/>
      <c r="G24" s="15">
        <f>(1+$C$8)^(G19-1)</f>
        <v>1</v>
      </c>
      <c r="H24" s="15">
        <f>(1+$C$8)^(H19-1)</f>
        <v>1.03</v>
      </c>
      <c r="I24" s="15">
        <f t="shared" ref="I24:Z24" si="11">(1+$C$8)^(I19-1)</f>
        <v>1.0609</v>
      </c>
      <c r="J24" s="15">
        <f t="shared" si="11"/>
        <v>1.092727</v>
      </c>
      <c r="K24" s="15">
        <f t="shared" si="11"/>
        <v>1.1255088099999999</v>
      </c>
      <c r="L24" s="15">
        <f t="shared" si="11"/>
        <v>1.1592740742999998</v>
      </c>
      <c r="M24" s="15">
        <f t="shared" si="11"/>
        <v>1.1940522965289999</v>
      </c>
      <c r="N24" s="15">
        <f t="shared" si="11"/>
        <v>1.22987386542487</v>
      </c>
      <c r="O24" s="15">
        <f t="shared" si="11"/>
        <v>1.2667700813876159</v>
      </c>
      <c r="P24" s="15">
        <f t="shared" si="11"/>
        <v>1.3047731838292445</v>
      </c>
      <c r="Q24" s="15">
        <f t="shared" si="11"/>
        <v>1.3439163793441218</v>
      </c>
      <c r="R24" s="15">
        <f t="shared" si="11"/>
        <v>1.3842338707244455</v>
      </c>
      <c r="S24" s="15">
        <f t="shared" si="11"/>
        <v>1.4257608868461786</v>
      </c>
      <c r="T24" s="15">
        <f t="shared" si="11"/>
        <v>1.4685337134515639</v>
      </c>
      <c r="U24" s="15">
        <f t="shared" si="11"/>
        <v>1.512589724855111</v>
      </c>
      <c r="V24" s="15">
        <f t="shared" si="11"/>
        <v>1.5579674166007644</v>
      </c>
      <c r="W24" s="15">
        <f t="shared" si="11"/>
        <v>1.6047064390987871</v>
      </c>
      <c r="X24" s="15">
        <f t="shared" si="11"/>
        <v>1.6528476322717507</v>
      </c>
      <c r="Y24" s="15">
        <f t="shared" si="11"/>
        <v>1.7024330612399032</v>
      </c>
      <c r="Z24" s="15">
        <f t="shared" si="11"/>
        <v>1.7535060530771003</v>
      </c>
      <c r="AA24" s="15">
        <f t="shared" ref="AA24:AE24" si="12">(1+$C$8)^(AA19-1)</f>
        <v>1.8061112346694133</v>
      </c>
      <c r="AB24" s="15">
        <f t="shared" si="12"/>
        <v>1.8602945717094954</v>
      </c>
      <c r="AC24" s="15">
        <f t="shared" si="12"/>
        <v>1.9161034088607805</v>
      </c>
      <c r="AD24" s="15">
        <f t="shared" si="12"/>
        <v>1.973586511126604</v>
      </c>
      <c r="AE24" s="15">
        <f t="shared" si="12"/>
        <v>2.0327941064604018</v>
      </c>
      <c r="AF24" s="15">
        <f t="shared" ref="AF24:AJ24" si="13">(1+$C$8)^(AF19-1)</f>
        <v>2.0937779296542138</v>
      </c>
      <c r="AG24" s="15">
        <f t="shared" si="13"/>
        <v>2.1565912675438406</v>
      </c>
      <c r="AH24" s="15">
        <f t="shared" si="13"/>
        <v>2.2212890055701555</v>
      </c>
      <c r="AI24" s="15">
        <f t="shared" si="13"/>
        <v>2.2879276757372602</v>
      </c>
      <c r="AJ24" s="15">
        <f t="shared" si="13"/>
        <v>2.3565655060093778</v>
      </c>
    </row>
    <row r="25" spans="2:36" customFormat="1" x14ac:dyDescent="0.2">
      <c r="B25" s="3"/>
      <c r="C25" s="8"/>
      <c r="D25" s="8"/>
      <c r="E25" s="12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</row>
    <row r="26" spans="2:36" customFormat="1" x14ac:dyDescent="0.2">
      <c r="B26" s="3" t="s">
        <v>32</v>
      </c>
      <c r="C26" s="8"/>
      <c r="D26" s="16"/>
      <c r="E26" s="12"/>
      <c r="F26" s="16">
        <f>$C$13*F24</f>
        <v>0</v>
      </c>
      <c r="G26" s="16">
        <f>$C$13*G24</f>
        <v>0.14625131423884707</v>
      </c>
      <c r="H26" s="16">
        <f t="shared" ref="H26:AJ26" si="14">$C$13*H24</f>
        <v>0.15063885366601248</v>
      </c>
      <c r="I26" s="16">
        <f t="shared" si="14"/>
        <v>0.15515801927599285</v>
      </c>
      <c r="J26" s="16">
        <f t="shared" si="14"/>
        <v>0.15981275985427265</v>
      </c>
      <c r="K26" s="16">
        <f t="shared" si="14"/>
        <v>0.16460714264990081</v>
      </c>
      <c r="L26" s="16">
        <f t="shared" si="14"/>
        <v>0.16954535692939782</v>
      </c>
      <c r="M26" s="16">
        <f t="shared" si="14"/>
        <v>0.17463171763727978</v>
      </c>
      <c r="N26" s="16">
        <f t="shared" si="14"/>
        <v>0.17987066916639818</v>
      </c>
      <c r="O26" s="16">
        <f t="shared" si="14"/>
        <v>0.18526678924139009</v>
      </c>
      <c r="P26" s="16">
        <f t="shared" si="14"/>
        <v>0.1908247929186318</v>
      </c>
      <c r="Q26" s="16">
        <f t="shared" si="14"/>
        <v>0.19654953670619077</v>
      </c>
      <c r="R26" s="16">
        <f t="shared" si="14"/>
        <v>0.2024460228073765</v>
      </c>
      <c r="S26" s="16">
        <f t="shared" si="14"/>
        <v>0.20851940349159775</v>
      </c>
      <c r="T26" s="16">
        <f t="shared" si="14"/>
        <v>0.21477498559634567</v>
      </c>
      <c r="U26" s="16">
        <f t="shared" si="14"/>
        <v>0.22121823516423608</v>
      </c>
      <c r="V26" s="16">
        <f t="shared" si="14"/>
        <v>0.22785478221916317</v>
      </c>
      <c r="W26" s="16">
        <f t="shared" si="14"/>
        <v>0.23469042568573803</v>
      </c>
      <c r="X26" s="16">
        <f t="shared" si="14"/>
        <v>0.24173113845631017</v>
      </c>
      <c r="Y26" s="16">
        <f t="shared" si="14"/>
        <v>0.24898307260999947</v>
      </c>
      <c r="Z26" s="16">
        <f t="shared" si="14"/>
        <v>0.25645256478829948</v>
      </c>
      <c r="AA26" s="16">
        <f t="shared" si="14"/>
        <v>0.26414614173194845</v>
      </c>
      <c r="AB26" s="16">
        <f t="shared" si="14"/>
        <v>0.27207052598390685</v>
      </c>
      <c r="AC26" s="16">
        <f t="shared" si="14"/>
        <v>0.28023264176342405</v>
      </c>
      <c r="AD26" s="16">
        <f t="shared" si="14"/>
        <v>0.28863962101632684</v>
      </c>
      <c r="AE26" s="16">
        <f t="shared" si="14"/>
        <v>0.2972988096468166</v>
      </c>
      <c r="AF26" s="16">
        <f t="shared" si="14"/>
        <v>0.30621777393622107</v>
      </c>
      <c r="AG26" s="16">
        <f t="shared" si="14"/>
        <v>0.31540430715430773</v>
      </c>
      <c r="AH26" s="16">
        <f t="shared" si="14"/>
        <v>0.32486643636893692</v>
      </c>
      <c r="AI26" s="16">
        <f t="shared" si="14"/>
        <v>0.33461242946000508</v>
      </c>
      <c r="AJ26" s="16">
        <f t="shared" si="14"/>
        <v>0.34465080234380518</v>
      </c>
    </row>
    <row r="27" spans="2:36" customFormat="1" x14ac:dyDescent="0.2">
      <c r="B27" s="3"/>
      <c r="C27" s="8"/>
      <c r="D27" s="16"/>
      <c r="E27" s="12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</row>
    <row r="28" spans="2:36" customFormat="1" x14ac:dyDescent="0.2">
      <c r="B28" s="39" t="s">
        <v>29</v>
      </c>
      <c r="C28" s="6"/>
      <c r="D28" s="28"/>
      <c r="E28" s="30">
        <f>NPV($C$10,G28:AJ28)+F28</f>
        <v>38036392.913359456</v>
      </c>
      <c r="F28" s="28">
        <f>F22*F26</f>
        <v>0</v>
      </c>
      <c r="G28" s="28">
        <f t="shared" ref="G28:AE28" si="15">G22*G26</f>
        <v>2100873.0725479042</v>
      </c>
      <c r="H28" s="28">
        <f t="shared" si="15"/>
        <v>2153079.7684007194</v>
      </c>
      <c r="I28" s="28">
        <f t="shared" si="15"/>
        <v>2206583.8006454771</v>
      </c>
      <c r="J28" s="28">
        <f t="shared" si="15"/>
        <v>2261417.4080915176</v>
      </c>
      <c r="K28" s="28">
        <f t="shared" si="15"/>
        <v>2317613.6306825913</v>
      </c>
      <c r="L28" s="28">
        <f t="shared" si="15"/>
        <v>2375206.329405054</v>
      </c>
      <c r="M28" s="28">
        <f t="shared" si="15"/>
        <v>2434230.2066907696</v>
      </c>
      <c r="N28" s="28">
        <f t="shared" si="15"/>
        <v>2494720.8273270354</v>
      </c>
      <c r="O28" s="28">
        <f t="shared" si="15"/>
        <v>2556714.639886112</v>
      </c>
      <c r="P28" s="28">
        <f t="shared" si="15"/>
        <v>2620248.9986872817</v>
      </c>
      <c r="Q28" s="28">
        <f t="shared" si="15"/>
        <v>2685362.186304661</v>
      </c>
      <c r="R28" s="28">
        <f t="shared" si="15"/>
        <v>2752093.4366343319</v>
      </c>
      <c r="S28" s="28">
        <f t="shared" si="15"/>
        <v>2820482.9585346943</v>
      </c>
      <c r="T28" s="28">
        <f t="shared" si="15"/>
        <v>2890571.9600542812</v>
      </c>
      <c r="U28" s="28">
        <f t="shared" si="15"/>
        <v>2962402.6732616303</v>
      </c>
      <c r="V28" s="28">
        <f t="shared" si="15"/>
        <v>3036018.3796921824</v>
      </c>
      <c r="W28" s="28">
        <f t="shared" si="15"/>
        <v>3111463.4364275327</v>
      </c>
      <c r="X28" s="28">
        <f t="shared" si="15"/>
        <v>3188783.302822757</v>
      </c>
      <c r="Y28" s="28">
        <f t="shared" si="15"/>
        <v>3268024.5678979023</v>
      </c>
      <c r="Z28" s="28">
        <f t="shared" si="15"/>
        <v>3349234.9784101653</v>
      </c>
      <c r="AA28" s="28">
        <f t="shared" si="15"/>
        <v>3432463.4676236575</v>
      </c>
      <c r="AB28" s="28">
        <f t="shared" si="15"/>
        <v>3517760.1847941051</v>
      </c>
      <c r="AC28" s="28">
        <f t="shared" si="15"/>
        <v>3605176.5253862385</v>
      </c>
      <c r="AD28" s="28">
        <f t="shared" si="15"/>
        <v>3694765.1620420874</v>
      </c>
      <c r="AE28" s="28">
        <f t="shared" si="15"/>
        <v>3786580.0763188326</v>
      </c>
      <c r="AF28" s="28">
        <f t="shared" ref="AF28:AJ28" si="16">AF22*AF26</f>
        <v>3880676.5912153553</v>
      </c>
      <c r="AG28" s="28">
        <f t="shared" si="16"/>
        <v>3977111.4045070573</v>
      </c>
      <c r="AH28" s="28">
        <f t="shared" si="16"/>
        <v>4075942.622909057</v>
      </c>
      <c r="AI28" s="28">
        <f t="shared" si="16"/>
        <v>4177229.7970883478</v>
      </c>
      <c r="AJ28" s="28">
        <f t="shared" si="16"/>
        <v>4281033.9575459929</v>
      </c>
    </row>
    <row r="29" spans="2:36" customFormat="1" x14ac:dyDescent="0.2">
      <c r="B29" s="3"/>
      <c r="C29" s="8"/>
      <c r="D29" s="16"/>
      <c r="E29" s="14"/>
    </row>
    <row r="30" spans="2:36" customFormat="1" x14ac:dyDescent="0.2">
      <c r="B30" s="17" t="s">
        <v>30</v>
      </c>
      <c r="C30" s="8"/>
      <c r="D30" s="16">
        <f>(C4*1000*C11)*C6</f>
        <v>21590000</v>
      </c>
      <c r="E30" s="14">
        <f>NPV($C$10,G30:AJ30)+F30</f>
        <v>21590000</v>
      </c>
      <c r="F30" s="18">
        <f t="shared" ref="F30:AJ30" si="17">IF(F$19=0,$D30,)</f>
        <v>21590000</v>
      </c>
      <c r="G30">
        <f t="shared" si="17"/>
        <v>0</v>
      </c>
      <c r="H30">
        <f t="shared" si="17"/>
        <v>0</v>
      </c>
      <c r="I30">
        <f t="shared" si="17"/>
        <v>0</v>
      </c>
      <c r="J30">
        <f t="shared" si="17"/>
        <v>0</v>
      </c>
      <c r="K30">
        <f t="shared" si="17"/>
        <v>0</v>
      </c>
      <c r="L30">
        <f t="shared" si="17"/>
        <v>0</v>
      </c>
      <c r="M30">
        <f t="shared" si="17"/>
        <v>0</v>
      </c>
      <c r="N30">
        <f t="shared" si="17"/>
        <v>0</v>
      </c>
      <c r="O30">
        <f t="shared" si="17"/>
        <v>0</v>
      </c>
      <c r="P30">
        <f t="shared" si="17"/>
        <v>0</v>
      </c>
      <c r="Q30">
        <f t="shared" si="17"/>
        <v>0</v>
      </c>
      <c r="R30">
        <f t="shared" si="17"/>
        <v>0</v>
      </c>
      <c r="S30">
        <f t="shared" si="17"/>
        <v>0</v>
      </c>
      <c r="T30">
        <f t="shared" si="17"/>
        <v>0</v>
      </c>
      <c r="U30">
        <f t="shared" si="17"/>
        <v>0</v>
      </c>
      <c r="V30">
        <f t="shared" si="17"/>
        <v>0</v>
      </c>
      <c r="W30">
        <f t="shared" si="17"/>
        <v>0</v>
      </c>
      <c r="X30">
        <f t="shared" si="17"/>
        <v>0</v>
      </c>
      <c r="Y30">
        <f t="shared" si="17"/>
        <v>0</v>
      </c>
      <c r="Z30">
        <f t="shared" si="17"/>
        <v>0</v>
      </c>
      <c r="AA30">
        <f t="shared" si="17"/>
        <v>0</v>
      </c>
      <c r="AB30">
        <f t="shared" si="17"/>
        <v>0</v>
      </c>
      <c r="AC30">
        <f t="shared" si="17"/>
        <v>0</v>
      </c>
      <c r="AD30">
        <f t="shared" si="17"/>
        <v>0</v>
      </c>
      <c r="AE30">
        <f t="shared" si="17"/>
        <v>0</v>
      </c>
      <c r="AF30">
        <f t="shared" si="17"/>
        <v>0</v>
      </c>
      <c r="AG30">
        <f t="shared" si="17"/>
        <v>0</v>
      </c>
      <c r="AH30">
        <f t="shared" si="17"/>
        <v>0</v>
      </c>
      <c r="AI30">
        <f t="shared" si="17"/>
        <v>0</v>
      </c>
      <c r="AJ30">
        <f t="shared" si="17"/>
        <v>0</v>
      </c>
    </row>
    <row r="31" spans="2:36" customFormat="1" x14ac:dyDescent="0.2">
      <c r="B31" s="34" t="s">
        <v>31</v>
      </c>
      <c r="C31" s="6"/>
      <c r="D31" s="28">
        <f>(C4*1000*C11)*C7</f>
        <v>306000</v>
      </c>
      <c r="E31" s="30">
        <f>NPV($C$10,G31:AJ31)+F31</f>
        <v>5889367.936544315</v>
      </c>
      <c r="F31" s="29">
        <f t="shared" ref="F31:AE31" si="18">IF(F$19&lt;&gt;0,$D31,)*F24</f>
        <v>0</v>
      </c>
      <c r="G31" s="37">
        <f>IF(G$19&lt;&gt;0,$D31,)*G24</f>
        <v>306000</v>
      </c>
      <c r="H31" s="37">
        <f t="shared" si="18"/>
        <v>315180</v>
      </c>
      <c r="I31" s="37">
        <f t="shared" si="18"/>
        <v>324635.39999999997</v>
      </c>
      <c r="J31" s="37">
        <f t="shared" si="18"/>
        <v>334374.462</v>
      </c>
      <c r="K31" s="37">
        <f t="shared" si="18"/>
        <v>344405.69585999998</v>
      </c>
      <c r="L31" s="37">
        <f t="shared" si="18"/>
        <v>354737.86673579994</v>
      </c>
      <c r="M31" s="37">
        <f t="shared" si="18"/>
        <v>365380.00273787399</v>
      </c>
      <c r="N31" s="37">
        <f t="shared" si="18"/>
        <v>376341.4028200102</v>
      </c>
      <c r="O31" s="37">
        <f t="shared" si="18"/>
        <v>387631.64490461047</v>
      </c>
      <c r="P31" s="37">
        <f t="shared" si="18"/>
        <v>399260.59425174881</v>
      </c>
      <c r="Q31" s="37">
        <f t="shared" si="18"/>
        <v>411238.41207930126</v>
      </c>
      <c r="R31" s="37">
        <f t="shared" si="18"/>
        <v>423575.56444168033</v>
      </c>
      <c r="S31" s="37">
        <f t="shared" si="18"/>
        <v>436282.83137493068</v>
      </c>
      <c r="T31" s="37">
        <f t="shared" si="18"/>
        <v>449371.31631617853</v>
      </c>
      <c r="U31" s="37">
        <f t="shared" si="18"/>
        <v>462852.45580566395</v>
      </c>
      <c r="V31" s="37">
        <f t="shared" si="18"/>
        <v>476738.0294798339</v>
      </c>
      <c r="W31" s="37">
        <f t="shared" si="18"/>
        <v>491040.17036422883</v>
      </c>
      <c r="X31" s="37">
        <f t="shared" si="18"/>
        <v>505771.37547515571</v>
      </c>
      <c r="Y31" s="37">
        <f t="shared" si="18"/>
        <v>520944.51673941041</v>
      </c>
      <c r="Z31" s="37">
        <f t="shared" si="18"/>
        <v>536572.85224159271</v>
      </c>
      <c r="AA31" s="37">
        <f t="shared" si="18"/>
        <v>552670.03780884051</v>
      </c>
      <c r="AB31" s="37">
        <f t="shared" si="18"/>
        <v>569250.13894310559</v>
      </c>
      <c r="AC31" s="37">
        <f t="shared" si="18"/>
        <v>586327.64311139879</v>
      </c>
      <c r="AD31" s="37">
        <f t="shared" si="18"/>
        <v>603917.47240474087</v>
      </c>
      <c r="AE31" s="37">
        <f t="shared" si="18"/>
        <v>622034.9965768829</v>
      </c>
      <c r="AF31" s="37">
        <f t="shared" ref="AF31:AJ31" si="19">IF(AF$19&lt;&gt;0,$D31,)*AF24</f>
        <v>640696.04647418938</v>
      </c>
      <c r="AG31" s="37">
        <f t="shared" si="19"/>
        <v>659916.92786841525</v>
      </c>
      <c r="AH31" s="37">
        <f t="shared" si="19"/>
        <v>679714.43570446759</v>
      </c>
      <c r="AI31" s="37">
        <f t="shared" si="19"/>
        <v>700105.86877560162</v>
      </c>
      <c r="AJ31" s="37">
        <f t="shared" si="19"/>
        <v>721109.04483886959</v>
      </c>
    </row>
    <row r="32" spans="2:36" customFormat="1" x14ac:dyDescent="0.2">
      <c r="B32" s="17"/>
      <c r="C32" s="8"/>
      <c r="D32" s="16"/>
      <c r="E32" s="14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</row>
    <row r="33" spans="2:36" x14ac:dyDescent="0.2">
      <c r="B33" s="1" t="s">
        <v>35</v>
      </c>
      <c r="F33" s="38">
        <f t="shared" ref="F33:AE33" si="20">F28-(F30+F31)</f>
        <v>-21590000</v>
      </c>
      <c r="G33" s="38">
        <f t="shared" si="20"/>
        <v>1794873.0725479042</v>
      </c>
      <c r="H33" s="38">
        <f t="shared" si="20"/>
        <v>1837899.7684007194</v>
      </c>
      <c r="I33" s="38">
        <f t="shared" si="20"/>
        <v>1881948.4006454772</v>
      </c>
      <c r="J33" s="38">
        <f t="shared" si="20"/>
        <v>1927042.9460915176</v>
      </c>
      <c r="K33" s="38">
        <f t="shared" si="20"/>
        <v>1973207.9348225915</v>
      </c>
      <c r="L33" s="38">
        <f t="shared" si="20"/>
        <v>2020468.462669254</v>
      </c>
      <c r="M33" s="38">
        <f t="shared" si="20"/>
        <v>2068850.2039528957</v>
      </c>
      <c r="N33" s="38">
        <f t="shared" si="20"/>
        <v>2118379.4245070252</v>
      </c>
      <c r="O33" s="38">
        <f t="shared" si="20"/>
        <v>2169082.9949815013</v>
      </c>
      <c r="P33" s="38">
        <f t="shared" si="20"/>
        <v>2220988.4044355331</v>
      </c>
      <c r="Q33" s="38">
        <f t="shared" si="20"/>
        <v>2274123.7742253598</v>
      </c>
      <c r="R33" s="38">
        <f t="shared" si="20"/>
        <v>2328517.8721926515</v>
      </c>
      <c r="S33" s="38">
        <f t="shared" si="20"/>
        <v>2384200.1271597636</v>
      </c>
      <c r="T33" s="38">
        <f t="shared" si="20"/>
        <v>2441200.6437381026</v>
      </c>
      <c r="U33" s="38">
        <f t="shared" si="20"/>
        <v>2499550.2174559664</v>
      </c>
      <c r="V33" s="38">
        <f t="shared" si="20"/>
        <v>2559280.3502123486</v>
      </c>
      <c r="W33" s="38">
        <f t="shared" si="20"/>
        <v>2620423.2660633037</v>
      </c>
      <c r="X33" s="38">
        <f t="shared" si="20"/>
        <v>2683011.9273476014</v>
      </c>
      <c r="Y33" s="38">
        <f t="shared" si="20"/>
        <v>2747080.051158492</v>
      </c>
      <c r="Z33" s="38">
        <f t="shared" si="20"/>
        <v>2812662.1261685723</v>
      </c>
      <c r="AA33" s="38">
        <f t="shared" si="20"/>
        <v>2879793.4298148169</v>
      </c>
      <c r="AB33" s="38">
        <f t="shared" si="20"/>
        <v>2948510.0458509997</v>
      </c>
      <c r="AC33" s="38">
        <f t="shared" si="20"/>
        <v>3018848.8822748396</v>
      </c>
      <c r="AD33" s="38">
        <f t="shared" si="20"/>
        <v>3090847.6896373467</v>
      </c>
      <c r="AE33" s="38">
        <f t="shared" si="20"/>
        <v>3164545.0797419497</v>
      </c>
      <c r="AF33" s="38">
        <f t="shared" ref="AF33:AJ33" si="21">AF28-(AF30+AF31)</f>
        <v>3239980.5447411658</v>
      </c>
      <c r="AG33" s="38">
        <f t="shared" si="21"/>
        <v>3317194.4766386421</v>
      </c>
      <c r="AH33" s="38">
        <f t="shared" si="21"/>
        <v>3396228.1872045891</v>
      </c>
      <c r="AI33" s="38">
        <f t="shared" si="21"/>
        <v>3477123.9283127463</v>
      </c>
      <c r="AJ33" s="38">
        <f t="shared" si="21"/>
        <v>3559924.9127071234</v>
      </c>
    </row>
    <row r="34" spans="2:36" x14ac:dyDescent="0.2">
      <c r="B34" s="23" t="s">
        <v>34</v>
      </c>
      <c r="C34" s="25"/>
      <c r="D34" s="23"/>
      <c r="E34" s="23"/>
      <c r="F34" s="45">
        <f>F33</f>
        <v>-21590000</v>
      </c>
      <c r="G34" s="45">
        <f t="shared" ref="G34:AE34" si="22">G33+F34</f>
        <v>-19795126.927452095</v>
      </c>
      <c r="H34" s="45">
        <f t="shared" si="22"/>
        <v>-17957227.159051374</v>
      </c>
      <c r="I34" s="45">
        <f t="shared" si="22"/>
        <v>-16075278.758405896</v>
      </c>
      <c r="J34" s="45">
        <f t="shared" si="22"/>
        <v>-14148235.812314378</v>
      </c>
      <c r="K34" s="45">
        <f t="shared" si="22"/>
        <v>-12175027.877491787</v>
      </c>
      <c r="L34" s="45">
        <f t="shared" si="22"/>
        <v>-10154559.414822534</v>
      </c>
      <c r="M34" s="45">
        <f t="shared" si="22"/>
        <v>-8085709.2108696382</v>
      </c>
      <c r="N34" s="45">
        <f t="shared" si="22"/>
        <v>-5967329.7863626126</v>
      </c>
      <c r="O34" s="45">
        <f t="shared" si="22"/>
        <v>-3798246.7913811114</v>
      </c>
      <c r="P34" s="45">
        <f t="shared" si="22"/>
        <v>-1577258.3869455783</v>
      </c>
      <c r="Q34" s="45">
        <f t="shared" si="22"/>
        <v>696865.38727978151</v>
      </c>
      <c r="R34" s="45">
        <f t="shared" si="22"/>
        <v>3025383.259472433</v>
      </c>
      <c r="S34" s="45">
        <f t="shared" si="22"/>
        <v>5409583.3866321966</v>
      </c>
      <c r="T34" s="45">
        <f t="shared" si="22"/>
        <v>7850784.0303702988</v>
      </c>
      <c r="U34" s="45">
        <f t="shared" si="22"/>
        <v>10350334.247826265</v>
      </c>
      <c r="V34" s="45">
        <f t="shared" si="22"/>
        <v>12909614.598038614</v>
      </c>
      <c r="W34" s="45">
        <f t="shared" si="22"/>
        <v>15530037.864101917</v>
      </c>
      <c r="X34" s="45">
        <f t="shared" si="22"/>
        <v>18213049.791449517</v>
      </c>
      <c r="Y34" s="45">
        <f t="shared" si="22"/>
        <v>20960129.842608009</v>
      </c>
      <c r="Z34" s="45">
        <f t="shared" si="22"/>
        <v>23772791.96877658</v>
      </c>
      <c r="AA34" s="45">
        <f t="shared" si="22"/>
        <v>26652585.398591395</v>
      </c>
      <c r="AB34" s="45">
        <f t="shared" si="22"/>
        <v>29601095.444442395</v>
      </c>
      <c r="AC34" s="45">
        <f t="shared" si="22"/>
        <v>32619944.326717235</v>
      </c>
      <c r="AD34" s="45">
        <f t="shared" si="22"/>
        <v>35710792.016354583</v>
      </c>
      <c r="AE34" s="45">
        <f t="shared" si="22"/>
        <v>38875337.096096531</v>
      </c>
      <c r="AF34" s="45">
        <f t="shared" ref="AF34" si="23">AF33+AE34</f>
        <v>42115317.640837699</v>
      </c>
      <c r="AG34" s="45">
        <f t="shared" ref="AG34" si="24">AG33+AF34</f>
        <v>45432512.117476344</v>
      </c>
      <c r="AH34" s="45">
        <f t="shared" ref="AH34" si="25">AH33+AG34</f>
        <v>48828740.304680936</v>
      </c>
      <c r="AI34" s="45">
        <f t="shared" ref="AI34" si="26">AI33+AH34</f>
        <v>52305864.232993685</v>
      </c>
      <c r="AJ34" s="45">
        <f t="shared" ref="AJ34" si="27">AJ33+AI34</f>
        <v>55865789.145700805</v>
      </c>
    </row>
    <row r="36" spans="2:36" x14ac:dyDescent="0.2">
      <c r="B36" s="49" t="s">
        <v>11</v>
      </c>
      <c r="C36" s="24"/>
      <c r="D36" s="22"/>
      <c r="E36" s="53">
        <f>E28-(E30+E31)</f>
        <v>10557024.976815142</v>
      </c>
      <c r="F36" s="80"/>
    </row>
    <row r="37" spans="2:36" x14ac:dyDescent="0.2">
      <c r="B37" s="50" t="s">
        <v>36</v>
      </c>
      <c r="E37" s="65">
        <f>IRR(F34:AE34)</f>
        <v>4.531234691406727E-2</v>
      </c>
      <c r="F37" s="81" t="s">
        <v>3</v>
      </c>
      <c r="H37" s="78"/>
    </row>
    <row r="38" spans="2:36" x14ac:dyDescent="0.2">
      <c r="B38" s="51" t="s">
        <v>37</v>
      </c>
      <c r="C38" s="25"/>
      <c r="D38" s="23"/>
      <c r="E38" s="69">
        <f>10+ABS(P34/Q33)</f>
        <v>10.693567520300359</v>
      </c>
      <c r="F38" s="82" t="s">
        <v>9</v>
      </c>
      <c r="G38" s="38"/>
    </row>
    <row r="40" spans="2:36" x14ac:dyDescent="0.2">
      <c r="B40" s="49" t="s">
        <v>13</v>
      </c>
      <c r="C40" s="24"/>
      <c r="D40" s="22"/>
      <c r="E40" s="54">
        <f>(E30+E31)/E22</f>
        <v>0.14625131423884707</v>
      </c>
      <c r="F40" s="55" t="s">
        <v>15</v>
      </c>
      <c r="H40" s="79"/>
    </row>
    <row r="41" spans="2:36" x14ac:dyDescent="0.2">
      <c r="B41" s="51" t="s">
        <v>13</v>
      </c>
      <c r="C41" s="25"/>
      <c r="D41" s="23"/>
      <c r="E41" s="56">
        <f>E40*1000</f>
        <v>146.25131423884707</v>
      </c>
      <c r="F41" s="57" t="s">
        <v>14</v>
      </c>
    </row>
    <row r="42" spans="2:36" x14ac:dyDescent="0.2">
      <c r="B42" s="52" t="s">
        <v>23</v>
      </c>
      <c r="C42" s="36"/>
      <c r="D42" s="35"/>
      <c r="E42" s="58">
        <v>165</v>
      </c>
      <c r="F42" s="59" t="s">
        <v>14</v>
      </c>
    </row>
    <row r="44" spans="2:36" x14ac:dyDescent="0.2">
      <c r="B44" s="26"/>
      <c r="I44" s="66"/>
    </row>
    <row r="45" spans="2:36" x14ac:dyDescent="0.2">
      <c r="J45" s="60"/>
      <c r="K45" s="60"/>
    </row>
    <row r="46" spans="2:36" x14ac:dyDescent="0.2">
      <c r="J46" s="60"/>
      <c r="K46" s="60"/>
    </row>
    <row r="47" spans="2:36" x14ac:dyDescent="0.2">
      <c r="C47" s="1"/>
      <c r="J47" s="60"/>
      <c r="K47" s="60"/>
    </row>
    <row r="48" spans="2:36" x14ac:dyDescent="0.2">
      <c r="C48" s="1"/>
      <c r="J48" s="60"/>
      <c r="K48" s="60"/>
    </row>
    <row r="49" spans="3:11" x14ac:dyDescent="0.2">
      <c r="C49" s="1"/>
      <c r="J49" s="64"/>
      <c r="K49" s="64"/>
    </row>
    <row r="50" spans="3:11" x14ac:dyDescent="0.2">
      <c r="C50" s="1"/>
      <c r="J50" s="67"/>
      <c r="K50" s="67"/>
    </row>
    <row r="51" spans="3:11" x14ac:dyDescent="0.2">
      <c r="C51" s="1"/>
      <c r="J51" s="38"/>
      <c r="K51" s="38"/>
    </row>
    <row r="52" spans="3:11" x14ac:dyDescent="0.2">
      <c r="C52" s="1"/>
    </row>
    <row r="54" spans="3:11" x14ac:dyDescent="0.2">
      <c r="C54" s="1"/>
    </row>
    <row r="55" spans="3:11" x14ac:dyDescent="0.2">
      <c r="C55" s="1"/>
    </row>
    <row r="56" spans="3:11" x14ac:dyDescent="0.2">
      <c r="C56" s="1"/>
    </row>
    <row r="57" spans="3:11" x14ac:dyDescent="0.2">
      <c r="C57" s="1"/>
    </row>
    <row r="58" spans="3:11" x14ac:dyDescent="0.2">
      <c r="C58" s="1"/>
    </row>
    <row r="59" spans="3:11" x14ac:dyDescent="0.2">
      <c r="C59" s="1"/>
    </row>
    <row r="60" spans="3:11" x14ac:dyDescent="0.2">
      <c r="C60" s="1"/>
    </row>
    <row r="61" spans="3:11" x14ac:dyDescent="0.2">
      <c r="C61" s="1"/>
    </row>
    <row r="62" spans="3:11" x14ac:dyDescent="0.2">
      <c r="C62" s="1"/>
    </row>
    <row r="63" spans="3:11" x14ac:dyDescent="0.2">
      <c r="C63" s="1"/>
    </row>
    <row r="64" spans="3:11" x14ac:dyDescent="0.2">
      <c r="C64" s="1"/>
    </row>
    <row r="65" spans="3:3" x14ac:dyDescent="0.2">
      <c r="C65" s="1"/>
    </row>
    <row r="66" spans="3:3" x14ac:dyDescent="0.2">
      <c r="C66" s="1"/>
    </row>
    <row r="67" spans="3:3" x14ac:dyDescent="0.2">
      <c r="C67" s="1"/>
    </row>
    <row r="68" spans="3:3" x14ac:dyDescent="0.2">
      <c r="C68" s="1"/>
    </row>
    <row r="69" spans="3:3" x14ac:dyDescent="0.2">
      <c r="C69" s="1"/>
    </row>
  </sheetData>
  <mergeCells count="1">
    <mergeCell ref="M7:N7"/>
  </mergeCells>
  <hyperlinks>
    <hyperlink ref="D6" r:id="rId1" xr:uid="{E6930EEC-6E20-4D01-A7A0-C55331215134}"/>
    <hyperlink ref="D7" r:id="rId2" xr:uid="{1AF9977D-B6ED-4807-A704-6A5B5F358733}"/>
  </hyperlinks>
  <pageMargins left="0.7" right="0.7" top="0.75" bottom="0.75" header="0.3" footer="0.3"/>
  <pageSetup orientation="landscape"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0761-375C-42D8-97D0-E37AA6CF12AC}">
  <dimension ref="A1:BN70"/>
  <sheetViews>
    <sheetView showGridLines="0" zoomScale="78" zoomScaleNormal="78" workbookViewId="0"/>
  </sheetViews>
  <sheetFormatPr baseColWidth="10" defaultColWidth="8.83203125" defaultRowHeight="15" x14ac:dyDescent="0.2"/>
  <cols>
    <col min="1" max="1" width="23.83203125" style="1" bestFit="1" customWidth="1"/>
    <col min="2" max="2" width="11.33203125" style="2" customWidth="1"/>
    <col min="3" max="3" width="14.83203125" style="1" customWidth="1"/>
    <col min="4" max="4" width="15.5" style="1" bestFit="1" customWidth="1"/>
    <col min="5" max="5" width="15.33203125" style="1" customWidth="1"/>
    <col min="6" max="6" width="15" style="1" customWidth="1"/>
    <col min="7" max="7" width="14.83203125" style="1" bestFit="1" customWidth="1"/>
    <col min="8" max="8" width="16.1640625" style="1" bestFit="1" customWidth="1"/>
    <col min="9" max="10" width="15.5" style="1" bestFit="1" customWidth="1"/>
    <col min="11" max="11" width="14.83203125" style="1" bestFit="1" customWidth="1"/>
    <col min="12" max="15" width="14.1640625" style="1" bestFit="1" customWidth="1"/>
    <col min="16" max="33" width="13.83203125" style="1" bestFit="1" customWidth="1"/>
    <col min="34" max="35" width="14.83203125" style="1" bestFit="1" customWidth="1"/>
    <col min="36" max="36" width="14.83203125" style="1" customWidth="1"/>
    <col min="37" max="47" width="14.83203125" style="1" bestFit="1" customWidth="1"/>
    <col min="48" max="66" width="15.33203125" style="1" bestFit="1" customWidth="1"/>
    <col min="67" max="16384" width="8.83203125" style="1"/>
  </cols>
  <sheetData>
    <row r="1" spans="1:66" x14ac:dyDescent="0.2">
      <c r="A1" s="96" t="s">
        <v>357</v>
      </c>
    </row>
    <row r="2" spans="1:66" x14ac:dyDescent="0.2">
      <c r="A2" s="97" t="s">
        <v>370</v>
      </c>
    </row>
    <row r="4" spans="1:66" x14ac:dyDescent="0.2">
      <c r="A4" s="262" t="s">
        <v>41</v>
      </c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</row>
    <row r="5" spans="1:66" x14ac:dyDescent="0.2">
      <c r="A5" s="176"/>
      <c r="B5" s="177"/>
      <c r="C5" s="176" t="s">
        <v>0</v>
      </c>
    </row>
    <row r="6" spans="1:66" x14ac:dyDescent="0.2">
      <c r="A6" s="179" t="s">
        <v>1</v>
      </c>
      <c r="B6" s="180">
        <v>10</v>
      </c>
      <c r="C6" s="178" t="s">
        <v>376</v>
      </c>
      <c r="F6" s="331" t="s">
        <v>258</v>
      </c>
      <c r="G6" s="332"/>
      <c r="H6" s="332"/>
      <c r="I6" s="333"/>
    </row>
    <row r="7" spans="1:66" x14ac:dyDescent="0.2">
      <c r="A7" s="179" t="s">
        <v>6</v>
      </c>
      <c r="B7" s="265">
        <v>14437</v>
      </c>
      <c r="C7" s="179" t="s">
        <v>7</v>
      </c>
      <c r="F7" s="329" t="s">
        <v>83</v>
      </c>
      <c r="G7" s="330"/>
      <c r="H7" s="274">
        <v>30</v>
      </c>
      <c r="I7" s="274">
        <v>60</v>
      </c>
    </row>
    <row r="8" spans="1:66" x14ac:dyDescent="0.2">
      <c r="A8" s="179" t="s">
        <v>57</v>
      </c>
      <c r="B8" s="186">
        <v>1270</v>
      </c>
      <c r="C8" s="187" t="s">
        <v>5</v>
      </c>
      <c r="F8" s="329" t="s">
        <v>94</v>
      </c>
      <c r="G8" s="330"/>
      <c r="H8" s="275">
        <v>0.06</v>
      </c>
      <c r="I8" s="275">
        <v>0.06</v>
      </c>
    </row>
    <row r="9" spans="1:66" x14ac:dyDescent="0.2">
      <c r="A9" s="179" t="s">
        <v>58</v>
      </c>
      <c r="B9" s="186">
        <v>18</v>
      </c>
      <c r="C9" s="187" t="s">
        <v>59</v>
      </c>
      <c r="D9" s="38" t="s">
        <v>63</v>
      </c>
      <c r="E9" s="63"/>
      <c r="F9" s="329" t="s">
        <v>88</v>
      </c>
      <c r="G9" s="330"/>
      <c r="H9" s="252">
        <f>187891425.656982/1000</f>
        <v>187891.425656982</v>
      </c>
      <c r="I9" s="252">
        <f>218753501.806155/1000</f>
        <v>218753.50180615499</v>
      </c>
      <c r="M9" s="328"/>
      <c r="N9" s="328"/>
    </row>
    <row r="10" spans="1:66" x14ac:dyDescent="0.2">
      <c r="A10" s="179" t="s">
        <v>4</v>
      </c>
      <c r="B10" s="185">
        <v>0.03</v>
      </c>
      <c r="C10" s="178" t="s">
        <v>3</v>
      </c>
      <c r="F10" s="329" t="s">
        <v>90</v>
      </c>
      <c r="G10" s="330"/>
      <c r="H10" s="276">
        <f>H17*1000</f>
        <v>146.25131423884707</v>
      </c>
      <c r="I10" s="276">
        <f>I17*1000</f>
        <v>150</v>
      </c>
    </row>
    <row r="11" spans="1:66" x14ac:dyDescent="0.2">
      <c r="A11" s="179" t="s">
        <v>10</v>
      </c>
      <c r="B11" s="185">
        <v>5.0000000000000001E-3</v>
      </c>
      <c r="C11" s="178" t="s">
        <v>3</v>
      </c>
      <c r="F11" s="329" t="s">
        <v>76</v>
      </c>
      <c r="G11" s="330"/>
      <c r="H11" s="276">
        <v>38036392.913359456</v>
      </c>
      <c r="I11" s="276">
        <v>54602863.242602974</v>
      </c>
    </row>
    <row r="12" spans="1:66" x14ac:dyDescent="0.2">
      <c r="A12" s="179" t="s">
        <v>33</v>
      </c>
      <c r="B12" s="185">
        <v>0.06</v>
      </c>
      <c r="C12" s="178" t="s">
        <v>3</v>
      </c>
      <c r="F12" s="329" t="s">
        <v>77</v>
      </c>
      <c r="G12" s="330"/>
      <c r="H12" s="276">
        <v>21590000</v>
      </c>
      <c r="I12" s="276">
        <v>24249696.504500419</v>
      </c>
      <c r="K12" s="68"/>
    </row>
    <row r="13" spans="1:66" x14ac:dyDescent="0.2">
      <c r="A13" s="188" t="s">
        <v>56</v>
      </c>
      <c r="B13" s="189">
        <v>1.7</v>
      </c>
      <c r="C13" s="178" t="s">
        <v>55</v>
      </c>
      <c r="F13" s="329" t="s">
        <v>78</v>
      </c>
      <c r="G13" s="330"/>
      <c r="H13" s="276">
        <v>5889367.936544315</v>
      </c>
      <c r="I13" s="276">
        <v>8307838.6365608154</v>
      </c>
    </row>
    <row r="14" spans="1:66" x14ac:dyDescent="0.2">
      <c r="A14" s="179" t="s">
        <v>240</v>
      </c>
      <c r="B14" s="265">
        <v>60</v>
      </c>
      <c r="C14" s="178" t="s">
        <v>9</v>
      </c>
      <c r="F14" s="329" t="s">
        <v>79</v>
      </c>
      <c r="G14" s="330"/>
      <c r="H14" s="276">
        <v>10557024.976815142</v>
      </c>
      <c r="I14" s="276">
        <v>22045328.101541739</v>
      </c>
    </row>
    <row r="15" spans="1:66" x14ac:dyDescent="0.2">
      <c r="A15" s="179" t="s">
        <v>32</v>
      </c>
      <c r="B15" s="266">
        <f>D41</f>
        <v>0.148832063817253</v>
      </c>
      <c r="C15" s="178" t="s">
        <v>15</v>
      </c>
      <c r="F15" s="329" t="s">
        <v>80</v>
      </c>
      <c r="G15" s="330"/>
      <c r="H15" s="277">
        <v>4.4999999999999998E-2</v>
      </c>
      <c r="I15" s="277">
        <v>0.05</v>
      </c>
    </row>
    <row r="16" spans="1:66" x14ac:dyDescent="0.2">
      <c r="A16" s="3"/>
      <c r="B16" s="33"/>
      <c r="F16" s="329" t="s">
        <v>81</v>
      </c>
      <c r="G16" s="330"/>
      <c r="H16" s="278">
        <v>10.693567520300359</v>
      </c>
      <c r="I16" s="278">
        <v>10.7</v>
      </c>
    </row>
    <row r="17" spans="1:66" x14ac:dyDescent="0.2">
      <c r="A17" s="3"/>
      <c r="B17" s="33"/>
      <c r="F17" s="329" t="s">
        <v>82</v>
      </c>
      <c r="G17" s="330"/>
      <c r="H17" s="279">
        <v>0.14625131423884707</v>
      </c>
      <c r="I17" s="279">
        <v>0.15</v>
      </c>
    </row>
    <row r="19" spans="1:66" x14ac:dyDescent="0.2">
      <c r="A19" s="263" t="s">
        <v>38</v>
      </c>
      <c r="B19" s="41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</row>
    <row r="21" spans="1:66" customFormat="1" x14ac:dyDescent="0.2">
      <c r="A21" s="264" t="s">
        <v>8</v>
      </c>
      <c r="B21" s="71"/>
      <c r="C21" s="71"/>
      <c r="D21" s="71"/>
      <c r="E21" s="71">
        <v>0</v>
      </c>
      <c r="F21" s="71">
        <v>1</v>
      </c>
      <c r="G21" s="71">
        <v>2</v>
      </c>
      <c r="H21" s="71">
        <v>3</v>
      </c>
      <c r="I21" s="71">
        <v>4</v>
      </c>
      <c r="J21" s="71">
        <v>5</v>
      </c>
      <c r="K21" s="71">
        <v>6</v>
      </c>
      <c r="L21" s="71">
        <v>7</v>
      </c>
      <c r="M21" s="71">
        <v>8</v>
      </c>
      <c r="N21" s="71">
        <v>9</v>
      </c>
      <c r="O21" s="71">
        <v>10</v>
      </c>
      <c r="P21" s="71">
        <v>11</v>
      </c>
      <c r="Q21" s="71">
        <v>12</v>
      </c>
      <c r="R21" s="71">
        <v>13</v>
      </c>
      <c r="S21" s="71">
        <v>14</v>
      </c>
      <c r="T21" s="71">
        <v>15</v>
      </c>
      <c r="U21" s="71">
        <v>16</v>
      </c>
      <c r="V21" s="71">
        <v>17</v>
      </c>
      <c r="W21" s="71">
        <v>18</v>
      </c>
      <c r="X21" s="71">
        <v>19</v>
      </c>
      <c r="Y21" s="71">
        <v>20</v>
      </c>
      <c r="Z21" s="71">
        <v>21</v>
      </c>
      <c r="AA21" s="71">
        <v>22</v>
      </c>
      <c r="AB21" s="71">
        <v>23</v>
      </c>
      <c r="AC21" s="71">
        <v>24</v>
      </c>
      <c r="AD21" s="71">
        <v>25</v>
      </c>
      <c r="AE21" s="71">
        <v>26</v>
      </c>
      <c r="AF21" s="71">
        <v>27</v>
      </c>
      <c r="AG21" s="71">
        <v>28</v>
      </c>
      <c r="AH21" s="71">
        <v>29</v>
      </c>
      <c r="AI21" s="71">
        <v>30</v>
      </c>
      <c r="AJ21" s="71">
        <v>31</v>
      </c>
      <c r="AK21" s="71">
        <v>32</v>
      </c>
      <c r="AL21" s="71">
        <v>33</v>
      </c>
      <c r="AM21" s="71">
        <v>34</v>
      </c>
      <c r="AN21" s="71">
        <v>35</v>
      </c>
      <c r="AO21" s="71">
        <v>36</v>
      </c>
      <c r="AP21" s="71">
        <v>37</v>
      </c>
      <c r="AQ21" s="71">
        <v>38</v>
      </c>
      <c r="AR21" s="71">
        <v>39</v>
      </c>
      <c r="AS21" s="71">
        <v>40</v>
      </c>
      <c r="AT21" s="71">
        <v>41</v>
      </c>
      <c r="AU21" s="71">
        <v>42</v>
      </c>
      <c r="AV21" s="71">
        <v>43</v>
      </c>
      <c r="AW21" s="71">
        <v>44</v>
      </c>
      <c r="AX21" s="71">
        <v>45</v>
      </c>
      <c r="AY21" s="71">
        <v>46</v>
      </c>
      <c r="AZ21" s="71">
        <v>47</v>
      </c>
      <c r="BA21" s="71">
        <v>48</v>
      </c>
      <c r="BB21" s="71">
        <v>49</v>
      </c>
      <c r="BC21" s="71">
        <v>50</v>
      </c>
      <c r="BD21" s="71">
        <v>51</v>
      </c>
      <c r="BE21" s="71">
        <v>52</v>
      </c>
      <c r="BF21" s="71">
        <v>53</v>
      </c>
      <c r="BG21" s="71">
        <v>54</v>
      </c>
      <c r="BH21" s="71">
        <v>55</v>
      </c>
      <c r="BI21" s="71">
        <v>56</v>
      </c>
      <c r="BJ21" s="71">
        <v>57</v>
      </c>
      <c r="BK21" s="71">
        <v>58</v>
      </c>
      <c r="BL21" s="71">
        <v>59</v>
      </c>
      <c r="BM21" s="71">
        <v>60</v>
      </c>
      <c r="BN21" s="71">
        <v>61</v>
      </c>
    </row>
    <row r="22" spans="1:66" s="201" customFormat="1" ht="13" x14ac:dyDescent="0.15">
      <c r="A22" s="198"/>
      <c r="B22" s="199"/>
      <c r="C22" s="199"/>
      <c r="D22" s="286" t="s">
        <v>11</v>
      </c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</row>
    <row r="23" spans="1:66" s="201" customFormat="1" ht="13" x14ac:dyDescent="0.15">
      <c r="A23" s="179" t="s">
        <v>16</v>
      </c>
      <c r="B23" s="199"/>
      <c r="C23" s="199"/>
      <c r="F23" s="202">
        <v>5.0000000000000001E-3</v>
      </c>
      <c r="G23" s="202">
        <v>5.0000000000000001E-3</v>
      </c>
      <c r="H23" s="202">
        <v>5.0000000000000001E-3</v>
      </c>
      <c r="I23" s="202">
        <v>5.0000000000000001E-3</v>
      </c>
      <c r="J23" s="202">
        <v>5.0000000000000001E-3</v>
      </c>
      <c r="K23" s="202">
        <v>5.0000000000000001E-3</v>
      </c>
      <c r="L23" s="202">
        <v>5.0000000000000001E-3</v>
      </c>
      <c r="M23" s="202">
        <v>5.0000000000000001E-3</v>
      </c>
      <c r="N23" s="202">
        <v>5.0000000000000001E-3</v>
      </c>
      <c r="O23" s="202">
        <v>5.0000000000000001E-3</v>
      </c>
      <c r="P23" s="202">
        <v>5.0000000000000001E-3</v>
      </c>
      <c r="Q23" s="202">
        <v>5.0000000000000001E-3</v>
      </c>
      <c r="R23" s="202">
        <v>5.0000000000000001E-3</v>
      </c>
      <c r="S23" s="202">
        <v>5.0000000000000001E-3</v>
      </c>
      <c r="T23" s="202">
        <v>5.0000000000000001E-3</v>
      </c>
      <c r="U23" s="202">
        <v>5.0000000000000001E-3</v>
      </c>
      <c r="V23" s="202">
        <v>5.0000000000000001E-3</v>
      </c>
      <c r="W23" s="202">
        <v>5.0000000000000001E-3</v>
      </c>
      <c r="X23" s="202">
        <v>5.0000000000000001E-3</v>
      </c>
      <c r="Y23" s="202">
        <v>5.0000000000000001E-3</v>
      </c>
      <c r="Z23" s="202">
        <v>5.0000000000000001E-3</v>
      </c>
      <c r="AA23" s="202">
        <v>5.0000000000000001E-3</v>
      </c>
      <c r="AB23" s="202">
        <v>5.0000000000000001E-3</v>
      </c>
      <c r="AC23" s="202">
        <v>5.0000000000000001E-3</v>
      </c>
      <c r="AD23" s="202">
        <v>5.0000000000000001E-3</v>
      </c>
      <c r="AE23" s="202">
        <v>5.0000000000000001E-3</v>
      </c>
      <c r="AF23" s="202">
        <v>5.0000000000000001E-3</v>
      </c>
      <c r="AG23" s="202">
        <v>5.0000000000000001E-3</v>
      </c>
      <c r="AH23" s="202">
        <v>5.0000000000000001E-3</v>
      </c>
      <c r="AI23" s="202">
        <v>5.0000000000000001E-3</v>
      </c>
      <c r="AJ23" s="202">
        <v>0</v>
      </c>
      <c r="AK23" s="202">
        <v>5.0000000000000001E-3</v>
      </c>
      <c r="AL23" s="202">
        <v>5.0000000000000001E-3</v>
      </c>
      <c r="AM23" s="202">
        <v>5.0000000000000001E-3</v>
      </c>
      <c r="AN23" s="202">
        <v>5.0000000000000001E-3</v>
      </c>
      <c r="AO23" s="202">
        <v>5.0000000000000001E-3</v>
      </c>
      <c r="AP23" s="202">
        <v>5.0000000000000001E-3</v>
      </c>
      <c r="AQ23" s="202">
        <v>5.0000000000000001E-3</v>
      </c>
      <c r="AR23" s="202">
        <v>5.0000000000000001E-3</v>
      </c>
      <c r="AS23" s="202">
        <v>5.0000000000000001E-3</v>
      </c>
      <c r="AT23" s="202">
        <v>5.0000000000000001E-3</v>
      </c>
      <c r="AU23" s="202">
        <v>5.0000000000000001E-3</v>
      </c>
      <c r="AV23" s="202">
        <v>5.0000000000000001E-3</v>
      </c>
      <c r="AW23" s="202">
        <v>5.0000000000000001E-3</v>
      </c>
      <c r="AX23" s="202">
        <v>5.0000000000000001E-3</v>
      </c>
      <c r="AY23" s="202">
        <v>5.0000000000000001E-3</v>
      </c>
      <c r="AZ23" s="202">
        <v>5.0000000000000001E-3</v>
      </c>
      <c r="BA23" s="202">
        <v>5.0000000000000001E-3</v>
      </c>
      <c r="BB23" s="202">
        <v>5.0000000000000001E-3</v>
      </c>
      <c r="BC23" s="202">
        <v>5.0000000000000001E-3</v>
      </c>
      <c r="BD23" s="202">
        <v>5.0000000000000001E-3</v>
      </c>
      <c r="BE23" s="202">
        <v>5.0000000000000001E-3</v>
      </c>
      <c r="BF23" s="202">
        <v>5.0000000000000001E-3</v>
      </c>
      <c r="BG23" s="202">
        <v>5.0000000000000001E-3</v>
      </c>
      <c r="BH23" s="202">
        <v>5.0000000000000001E-3</v>
      </c>
      <c r="BI23" s="202">
        <v>5.0000000000000001E-3</v>
      </c>
      <c r="BJ23" s="202">
        <v>5.0000000000000001E-3</v>
      </c>
      <c r="BK23" s="202">
        <v>5.0000000000000001E-3</v>
      </c>
      <c r="BL23" s="202">
        <v>5.0000000000000001E-3</v>
      </c>
      <c r="BM23" s="202">
        <v>5.0000000000000001E-3</v>
      </c>
      <c r="BN23" s="202">
        <v>5.0000000000000001E-3</v>
      </c>
    </row>
    <row r="24" spans="1:66" s="201" customFormat="1" ht="13" x14ac:dyDescent="0.15">
      <c r="A24" s="179" t="s">
        <v>12</v>
      </c>
      <c r="B24" s="199"/>
      <c r="C24" s="199"/>
      <c r="D24" s="203">
        <f>NPV($B$12,F24:BN24)+E24</f>
        <v>218753501.80615503</v>
      </c>
      <c r="F24" s="204">
        <f>$B$7*1000*(1-F23)</f>
        <v>14364815</v>
      </c>
      <c r="G24" s="204">
        <f t="shared" ref="G24:AI24" si="0">F24*(1-G23)</f>
        <v>14292990.925000001</v>
      </c>
      <c r="H24" s="204">
        <f t="shared" si="0"/>
        <v>14221525.970375001</v>
      </c>
      <c r="I24" s="204">
        <f t="shared" si="0"/>
        <v>14150418.340523126</v>
      </c>
      <c r="J24" s="204">
        <f t="shared" si="0"/>
        <v>14079666.24882051</v>
      </c>
      <c r="K24" s="204">
        <f t="shared" si="0"/>
        <v>14009267.917576408</v>
      </c>
      <c r="L24" s="204">
        <f t="shared" si="0"/>
        <v>13939221.577988526</v>
      </c>
      <c r="M24" s="204">
        <f t="shared" si="0"/>
        <v>13869525.470098583</v>
      </c>
      <c r="N24" s="204">
        <f t="shared" si="0"/>
        <v>13800177.842748091</v>
      </c>
      <c r="O24" s="204">
        <f t="shared" si="0"/>
        <v>13731176.95353435</v>
      </c>
      <c r="P24" s="204">
        <f t="shared" si="0"/>
        <v>13662521.068766678</v>
      </c>
      <c r="Q24" s="204">
        <f t="shared" si="0"/>
        <v>13594208.463422844</v>
      </c>
      <c r="R24" s="204">
        <f t="shared" si="0"/>
        <v>13526237.421105729</v>
      </c>
      <c r="S24" s="204">
        <f t="shared" si="0"/>
        <v>13458606.2340002</v>
      </c>
      <c r="T24" s="204">
        <f t="shared" si="0"/>
        <v>13391313.202830199</v>
      </c>
      <c r="U24" s="204">
        <f t="shared" si="0"/>
        <v>13324356.636816049</v>
      </c>
      <c r="V24" s="204">
        <f t="shared" si="0"/>
        <v>13257734.85363197</v>
      </c>
      <c r="W24" s="204">
        <f t="shared" si="0"/>
        <v>13191446.17936381</v>
      </c>
      <c r="X24" s="204">
        <f t="shared" si="0"/>
        <v>13125488.94846699</v>
      </c>
      <c r="Y24" s="204">
        <f t="shared" si="0"/>
        <v>13059861.503724655</v>
      </c>
      <c r="Z24" s="204">
        <f t="shared" si="0"/>
        <v>12994562.196206031</v>
      </c>
      <c r="AA24" s="204">
        <f t="shared" si="0"/>
        <v>12929589.385225002</v>
      </c>
      <c r="AB24" s="204">
        <f t="shared" si="0"/>
        <v>12864941.438298877</v>
      </c>
      <c r="AC24" s="204">
        <f t="shared" si="0"/>
        <v>12800616.731107382</v>
      </c>
      <c r="AD24" s="204">
        <f t="shared" si="0"/>
        <v>12736613.647451846</v>
      </c>
      <c r="AE24" s="204">
        <f t="shared" si="0"/>
        <v>12672930.579214586</v>
      </c>
      <c r="AF24" s="204">
        <f t="shared" si="0"/>
        <v>12609565.926318513</v>
      </c>
      <c r="AG24" s="204">
        <f t="shared" si="0"/>
        <v>12546518.09668692</v>
      </c>
      <c r="AH24" s="204">
        <f t="shared" si="0"/>
        <v>12483785.506203486</v>
      </c>
      <c r="AI24" s="204">
        <f t="shared" si="0"/>
        <v>12421366.578672469</v>
      </c>
      <c r="AJ24" s="204">
        <v>0</v>
      </c>
      <c r="AK24" s="204">
        <f>$B$7*1000*(1-AK23)</f>
        <v>14364815</v>
      </c>
      <c r="AL24" s="204">
        <f>AK24*(1-AL23)</f>
        <v>14292990.925000001</v>
      </c>
      <c r="AM24" s="204">
        <f t="shared" ref="AM24:BN24" si="1">AL24*(1-AM23)</f>
        <v>14221525.970375001</v>
      </c>
      <c r="AN24" s="204">
        <f t="shared" si="1"/>
        <v>14150418.340523126</v>
      </c>
      <c r="AO24" s="204">
        <f t="shared" si="1"/>
        <v>14079666.24882051</v>
      </c>
      <c r="AP24" s="204">
        <f t="shared" si="1"/>
        <v>14009267.917576408</v>
      </c>
      <c r="AQ24" s="204">
        <f t="shared" si="1"/>
        <v>13939221.577988526</v>
      </c>
      <c r="AR24" s="204">
        <f t="shared" si="1"/>
        <v>13869525.470098583</v>
      </c>
      <c r="AS24" s="204">
        <f t="shared" si="1"/>
        <v>13800177.842748091</v>
      </c>
      <c r="AT24" s="204">
        <f t="shared" si="1"/>
        <v>13731176.95353435</v>
      </c>
      <c r="AU24" s="204">
        <f t="shared" si="1"/>
        <v>13662521.068766678</v>
      </c>
      <c r="AV24" s="204">
        <f t="shared" si="1"/>
        <v>13594208.463422844</v>
      </c>
      <c r="AW24" s="204">
        <f t="shared" si="1"/>
        <v>13526237.421105729</v>
      </c>
      <c r="AX24" s="204">
        <f t="shared" si="1"/>
        <v>13458606.2340002</v>
      </c>
      <c r="AY24" s="204">
        <f t="shared" si="1"/>
        <v>13391313.202830199</v>
      </c>
      <c r="AZ24" s="204">
        <f t="shared" si="1"/>
        <v>13324356.636816049</v>
      </c>
      <c r="BA24" s="204">
        <f t="shared" si="1"/>
        <v>13257734.85363197</v>
      </c>
      <c r="BB24" s="204">
        <f t="shared" si="1"/>
        <v>13191446.17936381</v>
      </c>
      <c r="BC24" s="204">
        <f t="shared" si="1"/>
        <v>13125488.94846699</v>
      </c>
      <c r="BD24" s="204">
        <f t="shared" si="1"/>
        <v>13059861.503724655</v>
      </c>
      <c r="BE24" s="204">
        <f t="shared" si="1"/>
        <v>12994562.196206031</v>
      </c>
      <c r="BF24" s="204">
        <f t="shared" si="1"/>
        <v>12929589.385225002</v>
      </c>
      <c r="BG24" s="204">
        <f t="shared" si="1"/>
        <v>12864941.438298877</v>
      </c>
      <c r="BH24" s="204">
        <f t="shared" si="1"/>
        <v>12800616.731107382</v>
      </c>
      <c r="BI24" s="204">
        <f t="shared" si="1"/>
        <v>12736613.647451846</v>
      </c>
      <c r="BJ24" s="204">
        <f t="shared" si="1"/>
        <v>12672930.579214586</v>
      </c>
      <c r="BK24" s="204">
        <f t="shared" si="1"/>
        <v>12609565.926318513</v>
      </c>
      <c r="BL24" s="204">
        <f t="shared" si="1"/>
        <v>12546518.09668692</v>
      </c>
      <c r="BM24" s="204">
        <f t="shared" si="1"/>
        <v>12483785.506203486</v>
      </c>
      <c r="BN24" s="204">
        <f t="shared" si="1"/>
        <v>12421366.578672469</v>
      </c>
    </row>
    <row r="25" spans="1:66" s="201" customFormat="1" ht="13" x14ac:dyDescent="0.15">
      <c r="A25" s="179" t="s">
        <v>4</v>
      </c>
      <c r="B25" s="199"/>
      <c r="C25" s="199"/>
      <c r="D25" s="203"/>
      <c r="F25" s="205">
        <f>(1+$B$10)^(F21-1)</f>
        <v>1</v>
      </c>
      <c r="G25" s="205">
        <f>(1+$B$10)^(G21-1)</f>
        <v>1.03</v>
      </c>
      <c r="H25" s="205">
        <f t="shared" ref="H25:AI25" si="2">(1+$B$10)^(H21-1)</f>
        <v>1.0609</v>
      </c>
      <c r="I25" s="205">
        <f t="shared" si="2"/>
        <v>1.092727</v>
      </c>
      <c r="J25" s="205">
        <f t="shared" si="2"/>
        <v>1.1255088099999999</v>
      </c>
      <c r="K25" s="205">
        <f t="shared" si="2"/>
        <v>1.1592740742999998</v>
      </c>
      <c r="L25" s="205">
        <f t="shared" si="2"/>
        <v>1.1940522965289999</v>
      </c>
      <c r="M25" s="205">
        <f t="shared" si="2"/>
        <v>1.22987386542487</v>
      </c>
      <c r="N25" s="205">
        <f t="shared" si="2"/>
        <v>1.2667700813876159</v>
      </c>
      <c r="O25" s="205">
        <f t="shared" si="2"/>
        <v>1.3047731838292445</v>
      </c>
      <c r="P25" s="205">
        <f t="shared" si="2"/>
        <v>1.3439163793441218</v>
      </c>
      <c r="Q25" s="205">
        <f t="shared" si="2"/>
        <v>1.3842338707244455</v>
      </c>
      <c r="R25" s="205">
        <f t="shared" si="2"/>
        <v>1.4257608868461786</v>
      </c>
      <c r="S25" s="205">
        <f t="shared" si="2"/>
        <v>1.4685337134515639</v>
      </c>
      <c r="T25" s="205">
        <f t="shared" si="2"/>
        <v>1.512589724855111</v>
      </c>
      <c r="U25" s="205">
        <f t="shared" si="2"/>
        <v>1.5579674166007644</v>
      </c>
      <c r="V25" s="205">
        <f t="shared" si="2"/>
        <v>1.6047064390987871</v>
      </c>
      <c r="W25" s="205">
        <f t="shared" si="2"/>
        <v>1.6528476322717507</v>
      </c>
      <c r="X25" s="205">
        <f t="shared" si="2"/>
        <v>1.7024330612399032</v>
      </c>
      <c r="Y25" s="205">
        <f t="shared" si="2"/>
        <v>1.7535060530771003</v>
      </c>
      <c r="Z25" s="205">
        <f t="shared" si="2"/>
        <v>1.8061112346694133</v>
      </c>
      <c r="AA25" s="205">
        <f t="shared" si="2"/>
        <v>1.8602945717094954</v>
      </c>
      <c r="AB25" s="205">
        <f t="shared" si="2"/>
        <v>1.9161034088607805</v>
      </c>
      <c r="AC25" s="205">
        <f t="shared" si="2"/>
        <v>1.973586511126604</v>
      </c>
      <c r="AD25" s="205">
        <f t="shared" si="2"/>
        <v>2.0327941064604018</v>
      </c>
      <c r="AE25" s="205">
        <f t="shared" si="2"/>
        <v>2.0937779296542138</v>
      </c>
      <c r="AF25" s="205">
        <f t="shared" si="2"/>
        <v>2.1565912675438406</v>
      </c>
      <c r="AG25" s="205">
        <f t="shared" si="2"/>
        <v>2.2212890055701555</v>
      </c>
      <c r="AH25" s="205">
        <f t="shared" si="2"/>
        <v>2.2879276757372602</v>
      </c>
      <c r="AI25" s="205">
        <f t="shared" si="2"/>
        <v>2.3565655060093778</v>
      </c>
      <c r="AJ25" s="204">
        <v>0</v>
      </c>
      <c r="AK25" s="205">
        <f>(1+$B$10)^(AK21-1)</f>
        <v>2.5000803453253493</v>
      </c>
      <c r="AL25" s="205">
        <f t="shared" ref="AL25:BN25" si="3">(1+$B$10)^(AL21-1)</f>
        <v>2.5750827556851092</v>
      </c>
      <c r="AM25" s="205">
        <f t="shared" si="3"/>
        <v>2.6523352383556626</v>
      </c>
      <c r="AN25" s="205">
        <f t="shared" si="3"/>
        <v>2.7319052955063321</v>
      </c>
      <c r="AO25" s="205">
        <f t="shared" si="3"/>
        <v>2.8138624543715225</v>
      </c>
      <c r="AP25" s="205">
        <f t="shared" si="3"/>
        <v>2.898278328002668</v>
      </c>
      <c r="AQ25" s="205">
        <f t="shared" si="3"/>
        <v>2.9852266778427476</v>
      </c>
      <c r="AR25" s="205">
        <f t="shared" si="3"/>
        <v>3.0747834781780301</v>
      </c>
      <c r="AS25" s="205">
        <f t="shared" si="3"/>
        <v>3.1670269825233714</v>
      </c>
      <c r="AT25" s="205">
        <f t="shared" si="3"/>
        <v>3.262037791999072</v>
      </c>
      <c r="AU25" s="205">
        <f t="shared" si="3"/>
        <v>3.3598989257590444</v>
      </c>
      <c r="AV25" s="205">
        <f t="shared" si="3"/>
        <v>3.4606958935318159</v>
      </c>
      <c r="AW25" s="205">
        <f t="shared" si="3"/>
        <v>3.5645167703377703</v>
      </c>
      <c r="AX25" s="205">
        <f t="shared" si="3"/>
        <v>3.6714522734479029</v>
      </c>
      <c r="AY25" s="205">
        <f t="shared" si="3"/>
        <v>3.78159584165134</v>
      </c>
      <c r="AZ25" s="205">
        <f t="shared" si="3"/>
        <v>3.8950437169008802</v>
      </c>
      <c r="BA25" s="205">
        <f t="shared" si="3"/>
        <v>4.0118950284079071</v>
      </c>
      <c r="BB25" s="205">
        <f t="shared" si="3"/>
        <v>4.1322518792601439</v>
      </c>
      <c r="BC25" s="205">
        <f t="shared" si="3"/>
        <v>4.2562194356379477</v>
      </c>
      <c r="BD25" s="205">
        <f t="shared" si="3"/>
        <v>4.3839060187070862</v>
      </c>
      <c r="BE25" s="205">
        <f t="shared" si="3"/>
        <v>4.5154231992682989</v>
      </c>
      <c r="BF25" s="205">
        <f t="shared" si="3"/>
        <v>4.6508858952463479</v>
      </c>
      <c r="BG25" s="205">
        <f t="shared" si="3"/>
        <v>4.7904124721037373</v>
      </c>
      <c r="BH25" s="205">
        <f t="shared" si="3"/>
        <v>4.9341248462668501</v>
      </c>
      <c r="BI25" s="205">
        <f t="shared" si="3"/>
        <v>5.0821485916548559</v>
      </c>
      <c r="BJ25" s="205">
        <f t="shared" si="3"/>
        <v>5.2346130494045005</v>
      </c>
      <c r="BK25" s="205">
        <f t="shared" si="3"/>
        <v>5.3916514408866361</v>
      </c>
      <c r="BL25" s="205">
        <f t="shared" si="3"/>
        <v>5.5534009841132352</v>
      </c>
      <c r="BM25" s="205">
        <f t="shared" si="3"/>
        <v>5.7200030136366324</v>
      </c>
      <c r="BN25" s="205">
        <f t="shared" si="3"/>
        <v>5.8916031040457311</v>
      </c>
    </row>
    <row r="26" spans="1:66" s="201" customFormat="1" ht="13" x14ac:dyDescent="0.15">
      <c r="A26" s="179"/>
      <c r="B26" s="199"/>
      <c r="C26" s="199"/>
      <c r="D26" s="203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5"/>
      <c r="AI26" s="205"/>
      <c r="AJ26" s="205"/>
    </row>
    <row r="27" spans="1:66" s="201" customFormat="1" ht="13" x14ac:dyDescent="0.15">
      <c r="A27" s="179" t="s">
        <v>32</v>
      </c>
      <c r="B27" s="199"/>
      <c r="C27" s="214"/>
      <c r="D27" s="203"/>
      <c r="E27" s="214">
        <f>$B$15*E25</f>
        <v>0</v>
      </c>
      <c r="F27" s="214">
        <f>$B$15*F25</f>
        <v>0.148832063817253</v>
      </c>
      <c r="G27" s="214">
        <f t="shared" ref="G27:AH27" si="4">$B$15*G25</f>
        <v>0.15329702573177059</v>
      </c>
      <c r="H27" s="214">
        <f t="shared" si="4"/>
        <v>0.15789593650372372</v>
      </c>
      <c r="I27" s="214">
        <f t="shared" si="4"/>
        <v>0.16263281459883541</v>
      </c>
      <c r="J27" s="214">
        <f t="shared" si="4"/>
        <v>0.16751179903680047</v>
      </c>
      <c r="K27" s="214">
        <f t="shared" si="4"/>
        <v>0.17253715300790448</v>
      </c>
      <c r="L27" s="214">
        <f t="shared" si="4"/>
        <v>0.17771326759814163</v>
      </c>
      <c r="M27" s="214">
        <f t="shared" si="4"/>
        <v>0.18304466562608587</v>
      </c>
      <c r="N27" s="214">
        <f t="shared" si="4"/>
        <v>0.18853600559486844</v>
      </c>
      <c r="O27" s="214">
        <f t="shared" si="4"/>
        <v>0.19419208576271449</v>
      </c>
      <c r="P27" s="214">
        <f t="shared" si="4"/>
        <v>0.20001784833559594</v>
      </c>
      <c r="Q27" s="214">
        <f t="shared" si="4"/>
        <v>0.20601838378566381</v>
      </c>
      <c r="R27" s="214">
        <f t="shared" si="4"/>
        <v>0.2121989352992337</v>
      </c>
      <c r="S27" s="214">
        <f t="shared" si="4"/>
        <v>0.21856490335821069</v>
      </c>
      <c r="T27" s="214">
        <f t="shared" si="4"/>
        <v>0.22512185045895705</v>
      </c>
      <c r="U27" s="214">
        <f t="shared" si="4"/>
        <v>0.23187550597272577</v>
      </c>
      <c r="V27" s="214">
        <f t="shared" si="4"/>
        <v>0.23883177115190748</v>
      </c>
      <c r="W27" s="214">
        <f t="shared" si="4"/>
        <v>0.24599672428646471</v>
      </c>
      <c r="X27" s="214">
        <f t="shared" si="4"/>
        <v>0.25337662601505867</v>
      </c>
      <c r="Y27" s="214">
        <f t="shared" si="4"/>
        <v>0.26097792479551041</v>
      </c>
      <c r="Z27" s="214">
        <f t="shared" si="4"/>
        <v>0.2688072625393757</v>
      </c>
      <c r="AA27" s="214">
        <f t="shared" si="4"/>
        <v>0.27687148041555698</v>
      </c>
      <c r="AB27" s="214">
        <f t="shared" si="4"/>
        <v>0.28517762482802372</v>
      </c>
      <c r="AC27" s="214">
        <f t="shared" si="4"/>
        <v>0.29373295357286444</v>
      </c>
      <c r="AD27" s="214">
        <f t="shared" si="4"/>
        <v>0.30254494218005029</v>
      </c>
      <c r="AE27" s="214">
        <f t="shared" si="4"/>
        <v>0.31162129044545184</v>
      </c>
      <c r="AF27" s="214">
        <f t="shared" si="4"/>
        <v>0.32096992915881545</v>
      </c>
      <c r="AG27" s="214">
        <f t="shared" si="4"/>
        <v>0.33059902703357985</v>
      </c>
      <c r="AH27" s="214">
        <f t="shared" si="4"/>
        <v>0.34051699784458722</v>
      </c>
      <c r="AI27" s="214">
        <f>$B$15*AI25</f>
        <v>0.35073250777992482</v>
      </c>
      <c r="AJ27" s="205">
        <v>0</v>
      </c>
      <c r="AK27" s="214">
        <f t="shared" ref="AK27:BN27" si="5">$B$15*AK25</f>
        <v>0.37209211750372229</v>
      </c>
      <c r="AL27" s="214">
        <f t="shared" si="5"/>
        <v>0.38325488102883393</v>
      </c>
      <c r="AM27" s="214">
        <f t="shared" si="5"/>
        <v>0.39475252745969891</v>
      </c>
      <c r="AN27" s="214">
        <f t="shared" si="5"/>
        <v>0.40659510328348986</v>
      </c>
      <c r="AO27" s="214">
        <f t="shared" si="5"/>
        <v>0.4187929563819946</v>
      </c>
      <c r="AP27" s="214">
        <f t="shared" si="5"/>
        <v>0.4313567450734544</v>
      </c>
      <c r="AQ27" s="214">
        <f t="shared" si="5"/>
        <v>0.44429744742565797</v>
      </c>
      <c r="AR27" s="214">
        <f t="shared" si="5"/>
        <v>0.45762637084842772</v>
      </c>
      <c r="AS27" s="214">
        <f t="shared" si="5"/>
        <v>0.47135516197388061</v>
      </c>
      <c r="AT27" s="214">
        <f t="shared" si="5"/>
        <v>0.48549581683309695</v>
      </c>
      <c r="AU27" s="214">
        <f t="shared" si="5"/>
        <v>0.50006069133808995</v>
      </c>
      <c r="AV27" s="214">
        <f t="shared" si="5"/>
        <v>0.51506251207823261</v>
      </c>
      <c r="AW27" s="214">
        <f t="shared" si="5"/>
        <v>0.53051438744057955</v>
      </c>
      <c r="AX27" s="214">
        <f t="shared" si="5"/>
        <v>0.54642981906379695</v>
      </c>
      <c r="AY27" s="214">
        <f t="shared" si="5"/>
        <v>0.56282271363571079</v>
      </c>
      <c r="AZ27" s="214">
        <f t="shared" si="5"/>
        <v>0.57970739504478219</v>
      </c>
      <c r="BA27" s="214">
        <f t="shared" si="5"/>
        <v>0.59709861689612564</v>
      </c>
      <c r="BB27" s="214">
        <f t="shared" si="5"/>
        <v>0.61501157540300944</v>
      </c>
      <c r="BC27" s="214">
        <f t="shared" si="5"/>
        <v>0.6334619226650996</v>
      </c>
      <c r="BD27" s="214">
        <f t="shared" si="5"/>
        <v>0.65246578034505254</v>
      </c>
      <c r="BE27" s="214">
        <f t="shared" si="5"/>
        <v>0.67203975375540415</v>
      </c>
      <c r="BF27" s="214">
        <f t="shared" si="5"/>
        <v>0.69220094636806628</v>
      </c>
      <c r="BG27" s="214">
        <f t="shared" si="5"/>
        <v>0.7129669747591082</v>
      </c>
      <c r="BH27" s="214">
        <f t="shared" si="5"/>
        <v>0.73435598400188151</v>
      </c>
      <c r="BI27" s="214">
        <f t="shared" si="5"/>
        <v>0.75638666352193795</v>
      </c>
      <c r="BJ27" s="214">
        <f t="shared" si="5"/>
        <v>0.77907826342759601</v>
      </c>
      <c r="BK27" s="214">
        <f t="shared" si="5"/>
        <v>0.80245061133042395</v>
      </c>
      <c r="BL27" s="214">
        <f t="shared" si="5"/>
        <v>0.82652412967033662</v>
      </c>
      <c r="BM27" s="214">
        <f t="shared" si="5"/>
        <v>0.85131985356044682</v>
      </c>
      <c r="BN27" s="214">
        <f t="shared" si="5"/>
        <v>0.87685944916726011</v>
      </c>
    </row>
    <row r="28" spans="1:66" s="201" customFormat="1" ht="13" x14ac:dyDescent="0.15">
      <c r="A28" s="179"/>
      <c r="B28" s="199"/>
      <c r="C28" s="214"/>
      <c r="D28" s="203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</row>
    <row r="29" spans="1:66" s="201" customFormat="1" ht="13" x14ac:dyDescent="0.15">
      <c r="A29" s="176" t="s">
        <v>29</v>
      </c>
      <c r="B29" s="208"/>
      <c r="C29" s="221"/>
      <c r="D29" s="267">
        <f>NPV($B$12,F29:BN29)+E29</f>
        <v>54602863.242602974</v>
      </c>
      <c r="E29" s="221">
        <f>E24*E27</f>
        <v>0</v>
      </c>
      <c r="F29" s="221">
        <f t="shared" ref="F29:BN29" si="6">F24*F27</f>
        <v>2137945.0628030333</v>
      </c>
      <c r="G29" s="221">
        <f t="shared" si="6"/>
        <v>2191072.9976136885</v>
      </c>
      <c r="H29" s="221">
        <f t="shared" si="6"/>
        <v>2245521.1616043891</v>
      </c>
      <c r="I29" s="221">
        <f t="shared" si="6"/>
        <v>2301322.3624702576</v>
      </c>
      <c r="J29" s="221">
        <f t="shared" si="6"/>
        <v>2358510.2231776435</v>
      </c>
      <c r="K29" s="221">
        <f t="shared" si="6"/>
        <v>2417119.2022236083</v>
      </c>
      <c r="L29" s="221">
        <f t="shared" si="6"/>
        <v>2477184.614398865</v>
      </c>
      <c r="M29" s="221">
        <f t="shared" si="6"/>
        <v>2538742.6520666764</v>
      </c>
      <c r="N29" s="221">
        <f>N24*N27</f>
        <v>2601830.4069705335</v>
      </c>
      <c r="O29" s="221">
        <f t="shared" si="6"/>
        <v>2666485.8925837511</v>
      </c>
      <c r="P29" s="221">
        <f t="shared" si="6"/>
        <v>2732748.0670144577</v>
      </c>
      <c r="Q29" s="221">
        <f t="shared" si="6"/>
        <v>2800656.8564797668</v>
      </c>
      <c r="R29" s="221">
        <f t="shared" si="6"/>
        <v>2870253.1793632885</v>
      </c>
      <c r="S29" s="221">
        <f t="shared" si="6"/>
        <v>2941578.9708704655</v>
      </c>
      <c r="T29" s="221">
        <f t="shared" si="6"/>
        <v>3014677.2082965975</v>
      </c>
      <c r="U29" s="221">
        <f t="shared" si="6"/>
        <v>3089591.9369227681</v>
      </c>
      <c r="V29" s="221">
        <f t="shared" si="6"/>
        <v>3166368.2965552984</v>
      </c>
      <c r="W29" s="221">
        <f t="shared" si="6"/>
        <v>3245052.5487246974</v>
      </c>
      <c r="X29" s="221">
        <f t="shared" si="6"/>
        <v>3325692.1045605061</v>
      </c>
      <c r="Y29" s="221">
        <f t="shared" si="6"/>
        <v>3408335.5533588347</v>
      </c>
      <c r="Z29" s="221">
        <f t="shared" si="6"/>
        <v>3493032.6918598013</v>
      </c>
      <c r="AA29" s="221">
        <f t="shared" si="6"/>
        <v>3579834.5542525174</v>
      </c>
      <c r="AB29" s="221">
        <f t="shared" si="6"/>
        <v>3668793.442925693</v>
      </c>
      <c r="AC29" s="221">
        <f t="shared" si="6"/>
        <v>3759962.9599823966</v>
      </c>
      <c r="AD29" s="221">
        <f t="shared" si="6"/>
        <v>3853398.0395379583</v>
      </c>
      <c r="AE29" s="221">
        <f t="shared" si="6"/>
        <v>3949154.9808204765</v>
      </c>
      <c r="AF29" s="221">
        <f t="shared" si="6"/>
        <v>4047291.4820938664</v>
      </c>
      <c r="AG29" s="221">
        <f t="shared" si="6"/>
        <v>4147866.6754238978</v>
      </c>
      <c r="AH29" s="221">
        <f t="shared" si="6"/>
        <v>4250941.1623081816</v>
      </c>
      <c r="AI29" s="221">
        <f t="shared" si="6"/>
        <v>4356577.0501915393</v>
      </c>
      <c r="AJ29" s="221">
        <v>0</v>
      </c>
      <c r="AK29" s="221">
        <f>AK24*AK27</f>
        <v>5345034.4308992326</v>
      </c>
      <c r="AL29" s="221">
        <f t="shared" si="6"/>
        <v>5477858.5365070784</v>
      </c>
      <c r="AM29" s="221">
        <f t="shared" si="6"/>
        <v>5613983.3211392788</v>
      </c>
      <c r="AN29" s="221">
        <f t="shared" si="6"/>
        <v>5753490.8066695891</v>
      </c>
      <c r="AO29" s="221">
        <f t="shared" si="6"/>
        <v>5896465.0532153295</v>
      </c>
      <c r="AP29" s="221">
        <f t="shared" si="6"/>
        <v>6042992.2097877301</v>
      </c>
      <c r="AQ29" s="221">
        <f t="shared" si="6"/>
        <v>6193160.5662009539</v>
      </c>
      <c r="AR29" s="221">
        <f t="shared" si="6"/>
        <v>6347060.6062710481</v>
      </c>
      <c r="AS29" s="221">
        <f t="shared" si="6"/>
        <v>6504785.0623368844</v>
      </c>
      <c r="AT29" s="221">
        <f t="shared" si="6"/>
        <v>6666428.9711359553</v>
      </c>
      <c r="AU29" s="221">
        <f t="shared" si="6"/>
        <v>6832089.7310686847</v>
      </c>
      <c r="AV29" s="221">
        <f t="shared" si="6"/>
        <v>7001867.160885741</v>
      </c>
      <c r="AW29" s="221">
        <f t="shared" si="6"/>
        <v>7175863.5598337501</v>
      </c>
      <c r="AX29" s="221">
        <f t="shared" si="6"/>
        <v>7354183.7692956189</v>
      </c>
      <c r="AY29" s="221">
        <f t="shared" si="6"/>
        <v>7536935.2359626144</v>
      </c>
      <c r="AZ29" s="221">
        <f t="shared" si="6"/>
        <v>7724228.0765762869</v>
      </c>
      <c r="BA29" s="221">
        <f t="shared" si="6"/>
        <v>7916175.144279208</v>
      </c>
      <c r="BB29" s="221">
        <f t="shared" si="6"/>
        <v>8112892.0966145461</v>
      </c>
      <c r="BC29" s="221">
        <f t="shared" si="6"/>
        <v>8314497.4652154157</v>
      </c>
      <c r="BD29" s="221">
        <f t="shared" si="6"/>
        <v>8521112.7272260189</v>
      </c>
      <c r="BE29" s="221">
        <f t="shared" si="6"/>
        <v>8732862.3784975857</v>
      </c>
      <c r="BF29" s="221">
        <f t="shared" si="6"/>
        <v>8949874.0086032506</v>
      </c>
      <c r="BG29" s="221">
        <f t="shared" si="6"/>
        <v>9172278.3777170405</v>
      </c>
      <c r="BH29" s="221">
        <f t="shared" si="6"/>
        <v>9400209.4954033103</v>
      </c>
      <c r="BI29" s="221">
        <f t="shared" si="6"/>
        <v>9633804.7013640814</v>
      </c>
      <c r="BJ29" s="221">
        <f t="shared" si="6"/>
        <v>9873204.7481929772</v>
      </c>
      <c r="BK29" s="221">
        <f t="shared" si="6"/>
        <v>10118553.886185575</v>
      </c>
      <c r="BL29" s="221">
        <f t="shared" si="6"/>
        <v>10369999.950257285</v>
      </c>
      <c r="BM29" s="221">
        <f t="shared" si="6"/>
        <v>10627694.449021179</v>
      </c>
      <c r="BN29" s="221">
        <f t="shared" si="6"/>
        <v>10891792.656079356</v>
      </c>
    </row>
    <row r="30" spans="1:66" s="201" customFormat="1" ht="13" x14ac:dyDescent="0.15">
      <c r="A30" s="179"/>
      <c r="B30" s="199"/>
      <c r="C30" s="214"/>
      <c r="D30" s="203"/>
    </row>
    <row r="31" spans="1:66" s="201" customFormat="1" ht="13" x14ac:dyDescent="0.15">
      <c r="A31" s="188" t="s">
        <v>30</v>
      </c>
      <c r="B31" s="199"/>
      <c r="C31" s="214">
        <f>(B6*1000*B13)*B8</f>
        <v>21590000</v>
      </c>
      <c r="D31" s="203">
        <f>NPV($B$12,F31:BN31)+(E31)</f>
        <v>24249696.504500419</v>
      </c>
      <c r="E31" s="206">
        <f>IF(E$21=0,$C31,)</f>
        <v>21590000</v>
      </c>
      <c r="F31" s="201">
        <f>IF(F$21=0,$C31,)</f>
        <v>0</v>
      </c>
      <c r="G31" s="201">
        <f t="shared" ref="G31:AI31" si="7">IF(G$21=0,$C31,)</f>
        <v>0</v>
      </c>
      <c r="H31" s="201">
        <f t="shared" si="7"/>
        <v>0</v>
      </c>
      <c r="I31" s="201">
        <f t="shared" si="7"/>
        <v>0</v>
      </c>
      <c r="J31" s="201">
        <f t="shared" si="7"/>
        <v>0</v>
      </c>
      <c r="K31" s="201">
        <f t="shared" si="7"/>
        <v>0</v>
      </c>
      <c r="L31" s="201">
        <f t="shared" si="7"/>
        <v>0</v>
      </c>
      <c r="M31" s="201">
        <f>IF(M$21=0,$C31,)</f>
        <v>0</v>
      </c>
      <c r="N31" s="201">
        <f t="shared" si="7"/>
        <v>0</v>
      </c>
      <c r="O31" s="201">
        <f t="shared" si="7"/>
        <v>0</v>
      </c>
      <c r="P31" s="201">
        <f t="shared" si="7"/>
        <v>0</v>
      </c>
      <c r="Q31" s="201">
        <f t="shared" si="7"/>
        <v>0</v>
      </c>
      <c r="R31" s="201">
        <f t="shared" si="7"/>
        <v>0</v>
      </c>
      <c r="S31" s="201">
        <f t="shared" si="7"/>
        <v>0</v>
      </c>
      <c r="T31" s="201">
        <f t="shared" si="7"/>
        <v>0</v>
      </c>
      <c r="U31" s="201">
        <f t="shared" si="7"/>
        <v>0</v>
      </c>
      <c r="V31" s="201">
        <f t="shared" si="7"/>
        <v>0</v>
      </c>
      <c r="W31" s="201">
        <f t="shared" si="7"/>
        <v>0</v>
      </c>
      <c r="X31" s="201">
        <f t="shared" si="7"/>
        <v>0</v>
      </c>
      <c r="Y31" s="201">
        <f t="shared" si="7"/>
        <v>0</v>
      </c>
      <c r="Z31" s="201">
        <f t="shared" si="7"/>
        <v>0</v>
      </c>
      <c r="AA31" s="201">
        <f t="shared" si="7"/>
        <v>0</v>
      </c>
      <c r="AB31" s="201">
        <f t="shared" si="7"/>
        <v>0</v>
      </c>
      <c r="AC31" s="201">
        <f t="shared" si="7"/>
        <v>0</v>
      </c>
      <c r="AD31" s="201">
        <f t="shared" si="7"/>
        <v>0</v>
      </c>
      <c r="AE31" s="201">
        <f t="shared" si="7"/>
        <v>0</v>
      </c>
      <c r="AF31" s="201">
        <f t="shared" si="7"/>
        <v>0</v>
      </c>
      <c r="AG31" s="201">
        <f t="shared" si="7"/>
        <v>0</v>
      </c>
      <c r="AH31" s="201">
        <f t="shared" si="7"/>
        <v>0</v>
      </c>
      <c r="AI31" s="201">
        <f t="shared" si="7"/>
        <v>0</v>
      </c>
      <c r="AJ31" s="268">
        <v>16192500</v>
      </c>
      <c r="AK31" s="201">
        <f t="shared" ref="AK31:BN31" si="8">IF(AK$21=0,$AJ31,)</f>
        <v>0</v>
      </c>
      <c r="AL31" s="201">
        <f t="shared" si="8"/>
        <v>0</v>
      </c>
      <c r="AM31" s="201">
        <f t="shared" si="8"/>
        <v>0</v>
      </c>
      <c r="AN31" s="201">
        <f t="shared" si="8"/>
        <v>0</v>
      </c>
      <c r="AO31" s="201">
        <f t="shared" si="8"/>
        <v>0</v>
      </c>
      <c r="AP31" s="201">
        <f t="shared" si="8"/>
        <v>0</v>
      </c>
      <c r="AQ31" s="201">
        <f t="shared" si="8"/>
        <v>0</v>
      </c>
      <c r="AR31" s="201">
        <f t="shared" si="8"/>
        <v>0</v>
      </c>
      <c r="AS31" s="201">
        <f t="shared" si="8"/>
        <v>0</v>
      </c>
      <c r="AT31" s="201">
        <f t="shared" si="8"/>
        <v>0</v>
      </c>
      <c r="AU31" s="201">
        <f t="shared" si="8"/>
        <v>0</v>
      </c>
      <c r="AV31" s="201">
        <f t="shared" si="8"/>
        <v>0</v>
      </c>
      <c r="AW31" s="201">
        <f t="shared" si="8"/>
        <v>0</v>
      </c>
      <c r="AX31" s="201">
        <f t="shared" si="8"/>
        <v>0</v>
      </c>
      <c r="AY31" s="201">
        <f t="shared" si="8"/>
        <v>0</v>
      </c>
      <c r="AZ31" s="201">
        <f t="shared" si="8"/>
        <v>0</v>
      </c>
      <c r="BA31" s="201">
        <f t="shared" si="8"/>
        <v>0</v>
      </c>
      <c r="BB31" s="201">
        <f t="shared" si="8"/>
        <v>0</v>
      </c>
      <c r="BC31" s="201">
        <f t="shared" si="8"/>
        <v>0</v>
      </c>
      <c r="BD31" s="201">
        <f t="shared" si="8"/>
        <v>0</v>
      </c>
      <c r="BE31" s="201">
        <f t="shared" si="8"/>
        <v>0</v>
      </c>
      <c r="BF31" s="201">
        <f t="shared" si="8"/>
        <v>0</v>
      </c>
      <c r="BG31" s="201">
        <f t="shared" si="8"/>
        <v>0</v>
      </c>
      <c r="BH31" s="201">
        <f t="shared" si="8"/>
        <v>0</v>
      </c>
      <c r="BI31" s="201">
        <f t="shared" si="8"/>
        <v>0</v>
      </c>
      <c r="BJ31" s="201">
        <f t="shared" si="8"/>
        <v>0</v>
      </c>
      <c r="BK31" s="201">
        <f t="shared" si="8"/>
        <v>0</v>
      </c>
      <c r="BL31" s="201">
        <f t="shared" si="8"/>
        <v>0</v>
      </c>
      <c r="BM31" s="201">
        <f t="shared" si="8"/>
        <v>0</v>
      </c>
      <c r="BN31" s="201">
        <f t="shared" si="8"/>
        <v>0</v>
      </c>
    </row>
    <row r="32" spans="1:66" s="201" customFormat="1" ht="13" x14ac:dyDescent="0.15">
      <c r="A32" s="269" t="s">
        <v>31</v>
      </c>
      <c r="B32" s="208"/>
      <c r="C32" s="221">
        <f>(B6*1000*B13)*B9</f>
        <v>306000</v>
      </c>
      <c r="D32" s="267">
        <f>NPV($B$12,F32:BN32)+E32</f>
        <v>8307838.6365608154</v>
      </c>
      <c r="E32" s="207">
        <f t="shared" ref="E32:AH32" si="9">IF(E$21&lt;&gt;0,$C32,)*E25</f>
        <v>0</v>
      </c>
      <c r="F32" s="209">
        <f>IF(F$21&lt;&gt;0,$C32,)*F25</f>
        <v>306000</v>
      </c>
      <c r="G32" s="209">
        <f t="shared" si="9"/>
        <v>315180</v>
      </c>
      <c r="H32" s="209">
        <f>IF(H$21&lt;&gt;0,$C32,)*H25</f>
        <v>324635.39999999997</v>
      </c>
      <c r="I32" s="209">
        <f t="shared" si="9"/>
        <v>334374.462</v>
      </c>
      <c r="J32" s="209">
        <f t="shared" si="9"/>
        <v>344405.69585999998</v>
      </c>
      <c r="K32" s="209">
        <f t="shared" si="9"/>
        <v>354737.86673579994</v>
      </c>
      <c r="L32" s="209">
        <f t="shared" si="9"/>
        <v>365380.00273787399</v>
      </c>
      <c r="M32" s="209">
        <f t="shared" si="9"/>
        <v>376341.4028200102</v>
      </c>
      <c r="N32" s="209">
        <f t="shared" si="9"/>
        <v>387631.64490461047</v>
      </c>
      <c r="O32" s="209">
        <f t="shared" si="9"/>
        <v>399260.59425174881</v>
      </c>
      <c r="P32" s="209">
        <f t="shared" si="9"/>
        <v>411238.41207930126</v>
      </c>
      <c r="Q32" s="209">
        <f t="shared" si="9"/>
        <v>423575.56444168033</v>
      </c>
      <c r="R32" s="209">
        <f t="shared" si="9"/>
        <v>436282.83137493068</v>
      </c>
      <c r="S32" s="209">
        <f t="shared" si="9"/>
        <v>449371.31631617853</v>
      </c>
      <c r="T32" s="209">
        <f t="shared" si="9"/>
        <v>462852.45580566395</v>
      </c>
      <c r="U32" s="209">
        <f t="shared" si="9"/>
        <v>476738.0294798339</v>
      </c>
      <c r="V32" s="209">
        <f t="shared" si="9"/>
        <v>491040.17036422883</v>
      </c>
      <c r="W32" s="209">
        <f t="shared" si="9"/>
        <v>505771.37547515571</v>
      </c>
      <c r="X32" s="209">
        <f t="shared" si="9"/>
        <v>520944.51673941041</v>
      </c>
      <c r="Y32" s="209">
        <f t="shared" si="9"/>
        <v>536572.85224159271</v>
      </c>
      <c r="Z32" s="209">
        <f t="shared" si="9"/>
        <v>552670.03780884051</v>
      </c>
      <c r="AA32" s="209">
        <f t="shared" si="9"/>
        <v>569250.13894310559</v>
      </c>
      <c r="AB32" s="209">
        <f t="shared" si="9"/>
        <v>586327.64311139879</v>
      </c>
      <c r="AC32" s="209">
        <f t="shared" si="9"/>
        <v>603917.47240474087</v>
      </c>
      <c r="AD32" s="209">
        <f t="shared" si="9"/>
        <v>622034.9965768829</v>
      </c>
      <c r="AE32" s="209">
        <f t="shared" si="9"/>
        <v>640696.04647418938</v>
      </c>
      <c r="AF32" s="209">
        <f t="shared" si="9"/>
        <v>659916.92786841525</v>
      </c>
      <c r="AG32" s="209">
        <f t="shared" si="9"/>
        <v>679714.43570446759</v>
      </c>
      <c r="AH32" s="209">
        <f t="shared" si="9"/>
        <v>700105.86877560162</v>
      </c>
      <c r="AI32" s="209">
        <f>IF(AI$21&lt;&gt;0,$C32,)*AI25</f>
        <v>721109.04483886959</v>
      </c>
      <c r="AJ32" s="209">
        <f>IF(AJ$21&lt;&gt;0,$C32,)*AJ27</f>
        <v>0</v>
      </c>
      <c r="AK32" s="209">
        <f t="shared" ref="AK32:BM32" si="10">IF(AK$21&lt;&gt;0,$C32,)*AK25</f>
        <v>765024.58566955687</v>
      </c>
      <c r="AL32" s="209">
        <f t="shared" si="10"/>
        <v>787975.32323964348</v>
      </c>
      <c r="AM32" s="209">
        <f t="shared" si="10"/>
        <v>811614.5829368328</v>
      </c>
      <c r="AN32" s="209">
        <f t="shared" si="10"/>
        <v>835963.0204249376</v>
      </c>
      <c r="AO32" s="209">
        <f t="shared" si="10"/>
        <v>861041.91103768593</v>
      </c>
      <c r="AP32" s="209">
        <f t="shared" si="10"/>
        <v>886873.16836881638</v>
      </c>
      <c r="AQ32" s="209">
        <f t="shared" si="10"/>
        <v>913479.36341988074</v>
      </c>
      <c r="AR32" s="209">
        <f t="shared" si="10"/>
        <v>940883.74432247726</v>
      </c>
      <c r="AS32" s="209">
        <f t="shared" si="10"/>
        <v>969110.2566521517</v>
      </c>
      <c r="AT32" s="209">
        <f t="shared" si="10"/>
        <v>998183.56435171596</v>
      </c>
      <c r="AU32" s="209">
        <f t="shared" si="10"/>
        <v>1028129.0712822676</v>
      </c>
      <c r="AV32" s="209">
        <f t="shared" si="10"/>
        <v>1058972.9434207357</v>
      </c>
      <c r="AW32" s="209">
        <f t="shared" si="10"/>
        <v>1090742.1317233576</v>
      </c>
      <c r="AX32" s="209">
        <f t="shared" si="10"/>
        <v>1123464.3956750582</v>
      </c>
      <c r="AY32" s="209">
        <f t="shared" si="10"/>
        <v>1157168.3275453101</v>
      </c>
      <c r="AZ32" s="209">
        <f t="shared" si="10"/>
        <v>1191883.3773716693</v>
      </c>
      <c r="BA32" s="209">
        <f t="shared" si="10"/>
        <v>1227639.8786928195</v>
      </c>
      <c r="BB32" s="209">
        <f t="shared" si="10"/>
        <v>1264469.0750536041</v>
      </c>
      <c r="BC32" s="209">
        <f t="shared" si="10"/>
        <v>1302403.147305212</v>
      </c>
      <c r="BD32" s="209">
        <f t="shared" si="10"/>
        <v>1341475.2417243684</v>
      </c>
      <c r="BE32" s="209">
        <f t="shared" si="10"/>
        <v>1381719.4989760995</v>
      </c>
      <c r="BF32" s="209">
        <f t="shared" si="10"/>
        <v>1423171.0839453824</v>
      </c>
      <c r="BG32" s="209">
        <f t="shared" si="10"/>
        <v>1465866.2164637437</v>
      </c>
      <c r="BH32" s="209">
        <f t="shared" si="10"/>
        <v>1509842.2029576562</v>
      </c>
      <c r="BI32" s="209">
        <f t="shared" si="10"/>
        <v>1555137.469046386</v>
      </c>
      <c r="BJ32" s="209">
        <f t="shared" si="10"/>
        <v>1601791.593117777</v>
      </c>
      <c r="BK32" s="209">
        <f t="shared" si="10"/>
        <v>1649845.3409113106</v>
      </c>
      <c r="BL32" s="209">
        <f t="shared" si="10"/>
        <v>1699340.7011386501</v>
      </c>
      <c r="BM32" s="209">
        <f t="shared" si="10"/>
        <v>1750320.9221728095</v>
      </c>
      <c r="BN32" s="209">
        <f>IF(BN$21&lt;&gt;0,$C32,)*BN25</f>
        <v>1802830.5498379937</v>
      </c>
    </row>
    <row r="33" spans="1:66" s="201" customFormat="1" ht="13" x14ac:dyDescent="0.15">
      <c r="A33" s="188"/>
      <c r="B33" s="199"/>
      <c r="C33" s="214"/>
      <c r="D33" s="213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</row>
    <row r="34" spans="1:66" s="178" customFormat="1" ht="13" x14ac:dyDescent="0.15">
      <c r="A34" s="178" t="s">
        <v>35</v>
      </c>
      <c r="B34" s="265"/>
      <c r="E34" s="183">
        <f t="shared" ref="E34:AH34" si="11">E29-(E31+E32)</f>
        <v>-21590000</v>
      </c>
      <c r="F34" s="183">
        <f t="shared" si="11"/>
        <v>1831945.0628030333</v>
      </c>
      <c r="G34" s="183">
        <f t="shared" si="11"/>
        <v>1875892.9976136885</v>
      </c>
      <c r="H34" s="183">
        <f t="shared" si="11"/>
        <v>1920885.7616043892</v>
      </c>
      <c r="I34" s="183">
        <f t="shared" si="11"/>
        <v>1966947.9004702575</v>
      </c>
      <c r="J34" s="183">
        <f t="shared" si="11"/>
        <v>2014104.5273176436</v>
      </c>
      <c r="K34" s="183">
        <f t="shared" si="11"/>
        <v>2062381.3354878083</v>
      </c>
      <c r="L34" s="183">
        <f t="shared" si="11"/>
        <v>2111804.6116609909</v>
      </c>
      <c r="M34" s="183">
        <f t="shared" si="11"/>
        <v>2162401.2492466662</v>
      </c>
      <c r="N34" s="183">
        <f t="shared" si="11"/>
        <v>2214198.7620659228</v>
      </c>
      <c r="O34" s="183">
        <f t="shared" si="11"/>
        <v>2267225.2983320025</v>
      </c>
      <c r="P34" s="183">
        <f t="shared" si="11"/>
        <v>2321509.6549351565</v>
      </c>
      <c r="Q34" s="183">
        <f t="shared" si="11"/>
        <v>2377081.2920380863</v>
      </c>
      <c r="R34" s="183">
        <f t="shared" si="11"/>
        <v>2433970.3479883578</v>
      </c>
      <c r="S34" s="183">
        <f t="shared" si="11"/>
        <v>2492207.654554287</v>
      </c>
      <c r="T34" s="183">
        <f t="shared" si="11"/>
        <v>2551824.7524909335</v>
      </c>
      <c r="U34" s="183">
        <f t="shared" si="11"/>
        <v>2612853.9074429343</v>
      </c>
      <c r="V34" s="183">
        <f t="shared" si="11"/>
        <v>2675328.1261910694</v>
      </c>
      <c r="W34" s="183">
        <f t="shared" si="11"/>
        <v>2739281.1732495418</v>
      </c>
      <c r="X34" s="183">
        <f t="shared" si="11"/>
        <v>2804747.5878210957</v>
      </c>
      <c r="Y34" s="183">
        <f t="shared" si="11"/>
        <v>2871762.7011172418</v>
      </c>
      <c r="Z34" s="183">
        <f t="shared" si="11"/>
        <v>2940362.6540509607</v>
      </c>
      <c r="AA34" s="183">
        <f t="shared" si="11"/>
        <v>3010584.4153094119</v>
      </c>
      <c r="AB34" s="183">
        <f t="shared" si="11"/>
        <v>3082465.7998142941</v>
      </c>
      <c r="AC34" s="183">
        <f t="shared" si="11"/>
        <v>3156045.4875776558</v>
      </c>
      <c r="AD34" s="183">
        <f t="shared" si="11"/>
        <v>3231363.0429610754</v>
      </c>
      <c r="AE34" s="183">
        <f t="shared" si="11"/>
        <v>3308458.934346287</v>
      </c>
      <c r="AF34" s="183">
        <f t="shared" si="11"/>
        <v>3387374.5542254513</v>
      </c>
      <c r="AG34" s="183">
        <f t="shared" si="11"/>
        <v>3468152.23971943</v>
      </c>
      <c r="AH34" s="183">
        <f t="shared" si="11"/>
        <v>3550835.2935325801</v>
      </c>
      <c r="AI34" s="183">
        <f>AI29-(AI31+AI32)</f>
        <v>3635468.0053526699</v>
      </c>
      <c r="AJ34" s="183">
        <f>AJ29-(AJ31+AJ32)</f>
        <v>-16192500</v>
      </c>
      <c r="AK34" s="183">
        <f t="shared" ref="AK34:BN34" si="12">AK29-(AK31+AK32)</f>
        <v>4580009.845229676</v>
      </c>
      <c r="AL34" s="183">
        <f t="shared" si="12"/>
        <v>4689883.2132674353</v>
      </c>
      <c r="AM34" s="183">
        <f t="shared" si="12"/>
        <v>4802368.7382024461</v>
      </c>
      <c r="AN34" s="183">
        <f t="shared" si="12"/>
        <v>4917527.7862446513</v>
      </c>
      <c r="AO34" s="183">
        <f t="shared" si="12"/>
        <v>5035423.1421776433</v>
      </c>
      <c r="AP34" s="183">
        <f t="shared" si="12"/>
        <v>5156119.0414189138</v>
      </c>
      <c r="AQ34" s="183">
        <f t="shared" si="12"/>
        <v>5279681.2027810728</v>
      </c>
      <c r="AR34" s="183">
        <f t="shared" si="12"/>
        <v>5406176.8619485712</v>
      </c>
      <c r="AS34" s="183">
        <f t="shared" si="12"/>
        <v>5535674.8056847323</v>
      </c>
      <c r="AT34" s="183">
        <f t="shared" si="12"/>
        <v>5668245.4067842392</v>
      </c>
      <c r="AU34" s="183">
        <f t="shared" si="12"/>
        <v>5803960.6597864171</v>
      </c>
      <c r="AV34" s="183">
        <f t="shared" si="12"/>
        <v>5942894.2174650058</v>
      </c>
      <c r="AW34" s="183">
        <f t="shared" si="12"/>
        <v>6085121.4281103928</v>
      </c>
      <c r="AX34" s="183">
        <f t="shared" si="12"/>
        <v>6230719.3736205604</v>
      </c>
      <c r="AY34" s="183">
        <f t="shared" si="12"/>
        <v>6379766.908417304</v>
      </c>
      <c r="AZ34" s="183">
        <f t="shared" si="12"/>
        <v>6532344.6992046181</v>
      </c>
      <c r="BA34" s="183">
        <f t="shared" si="12"/>
        <v>6688535.2655863883</v>
      </c>
      <c r="BB34" s="183">
        <f t="shared" si="12"/>
        <v>6848423.0215609418</v>
      </c>
      <c r="BC34" s="183">
        <f t="shared" si="12"/>
        <v>7012094.3179102037</v>
      </c>
      <c r="BD34" s="183">
        <f t="shared" si="12"/>
        <v>7179637.4855016507</v>
      </c>
      <c r="BE34" s="183">
        <f t="shared" si="12"/>
        <v>7351142.8795214863</v>
      </c>
      <c r="BF34" s="183">
        <f t="shared" si="12"/>
        <v>7526702.9246578682</v>
      </c>
      <c r="BG34" s="183">
        <f t="shared" si="12"/>
        <v>7706412.1612532968</v>
      </c>
      <c r="BH34" s="183">
        <f t="shared" si="12"/>
        <v>7890367.292445654</v>
      </c>
      <c r="BI34" s="183">
        <f t="shared" si="12"/>
        <v>8078667.2323176954</v>
      </c>
      <c r="BJ34" s="183">
        <f t="shared" si="12"/>
        <v>8271413.1550751999</v>
      </c>
      <c r="BK34" s="183">
        <f t="shared" si="12"/>
        <v>8468708.5452742651</v>
      </c>
      <c r="BL34" s="183">
        <f t="shared" si="12"/>
        <v>8670659.2491186336</v>
      </c>
      <c r="BM34" s="183">
        <f t="shared" si="12"/>
        <v>8877373.5268483702</v>
      </c>
      <c r="BN34" s="183">
        <f t="shared" si="12"/>
        <v>9088962.1062413622</v>
      </c>
    </row>
    <row r="35" spans="1:66" s="178" customFormat="1" ht="13" x14ac:dyDescent="0.15">
      <c r="A35" s="225" t="s">
        <v>34</v>
      </c>
      <c r="B35" s="177"/>
      <c r="C35" s="225"/>
      <c r="D35" s="225"/>
      <c r="E35" s="270">
        <f>E34</f>
        <v>-21590000</v>
      </c>
      <c r="F35" s="270">
        <f t="shared" ref="F35:BN35" si="13">F34+E35</f>
        <v>-19758054.937196966</v>
      </c>
      <c r="G35" s="270">
        <f t="shared" si="13"/>
        <v>-17882161.939583279</v>
      </c>
      <c r="H35" s="270">
        <f t="shared" si="13"/>
        <v>-15961276.17797889</v>
      </c>
      <c r="I35" s="270">
        <f t="shared" si="13"/>
        <v>-13994328.277508633</v>
      </c>
      <c r="J35" s="270">
        <f t="shared" si="13"/>
        <v>-11980223.75019099</v>
      </c>
      <c r="K35" s="270">
        <f t="shared" si="13"/>
        <v>-9917842.414703181</v>
      </c>
      <c r="L35" s="270">
        <f t="shared" si="13"/>
        <v>-7806037.8030421901</v>
      </c>
      <c r="M35" s="270">
        <f t="shared" si="13"/>
        <v>-5643636.5537955239</v>
      </c>
      <c r="N35" s="270">
        <f t="shared" si="13"/>
        <v>-3429437.7917296011</v>
      </c>
      <c r="O35" s="270">
        <f t="shared" si="13"/>
        <v>-1162212.4933975986</v>
      </c>
      <c r="P35" s="270">
        <f t="shared" si="13"/>
        <v>1159297.1615375578</v>
      </c>
      <c r="Q35" s="270">
        <f t="shared" si="13"/>
        <v>3536378.4535756442</v>
      </c>
      <c r="R35" s="270">
        <f t="shared" si="13"/>
        <v>5970348.8015640024</v>
      </c>
      <c r="S35" s="270">
        <f t="shared" si="13"/>
        <v>8462556.4561182894</v>
      </c>
      <c r="T35" s="270">
        <f t="shared" si="13"/>
        <v>11014381.208609223</v>
      </c>
      <c r="U35" s="270">
        <f t="shared" si="13"/>
        <v>13627235.116052158</v>
      </c>
      <c r="V35" s="270">
        <f t="shared" si="13"/>
        <v>16302563.242243227</v>
      </c>
      <c r="W35" s="270">
        <f t="shared" si="13"/>
        <v>19041844.415492769</v>
      </c>
      <c r="X35" s="270">
        <f t="shared" si="13"/>
        <v>21846592.003313866</v>
      </c>
      <c r="Y35" s="270">
        <f t="shared" si="13"/>
        <v>24718354.704431109</v>
      </c>
      <c r="Z35" s="270">
        <f t="shared" si="13"/>
        <v>27658717.35848207</v>
      </c>
      <c r="AA35" s="270">
        <f t="shared" si="13"/>
        <v>30669301.773791481</v>
      </c>
      <c r="AB35" s="270">
        <f t="shared" si="13"/>
        <v>33751767.573605776</v>
      </c>
      <c r="AC35" s="270">
        <f t="shared" si="13"/>
        <v>36907813.06118343</v>
      </c>
      <c r="AD35" s="270">
        <f t="shared" si="13"/>
        <v>40139176.104144506</v>
      </c>
      <c r="AE35" s="270">
        <f t="shared" si="13"/>
        <v>43447635.038490795</v>
      </c>
      <c r="AF35" s="270">
        <f t="shared" si="13"/>
        <v>46835009.592716247</v>
      </c>
      <c r="AG35" s="270">
        <f t="shared" si="13"/>
        <v>50303161.832435675</v>
      </c>
      <c r="AH35" s="270">
        <f t="shared" si="13"/>
        <v>53853997.125968255</v>
      </c>
      <c r="AI35" s="270">
        <f t="shared" si="13"/>
        <v>57489465.131320924</v>
      </c>
      <c r="AJ35" s="270">
        <f t="shared" si="13"/>
        <v>41296965.131320924</v>
      </c>
      <c r="AK35" s="270">
        <f t="shared" si="13"/>
        <v>45876974.976550601</v>
      </c>
      <c r="AL35" s="270">
        <f t="shared" si="13"/>
        <v>50566858.18981804</v>
      </c>
      <c r="AM35" s="270">
        <f t="shared" si="13"/>
        <v>55369226.928020485</v>
      </c>
      <c r="AN35" s="270">
        <f t="shared" si="13"/>
        <v>60286754.714265138</v>
      </c>
      <c r="AO35" s="270">
        <f t="shared" si="13"/>
        <v>65322177.856442779</v>
      </c>
      <c r="AP35" s="270">
        <f t="shared" si="13"/>
        <v>70478296.897861689</v>
      </c>
      <c r="AQ35" s="270">
        <f t="shared" si="13"/>
        <v>75757978.100642756</v>
      </c>
      <c r="AR35" s="270">
        <f t="shared" si="13"/>
        <v>81164154.96259132</v>
      </c>
      <c r="AS35" s="270">
        <f t="shared" si="13"/>
        <v>86699829.768276051</v>
      </c>
      <c r="AT35" s="270">
        <f t="shared" si="13"/>
        <v>92368075.175060287</v>
      </c>
      <c r="AU35" s="270">
        <f t="shared" si="13"/>
        <v>98172035.834846705</v>
      </c>
      <c r="AV35" s="270">
        <f t="shared" si="13"/>
        <v>104114930.05231172</v>
      </c>
      <c r="AW35" s="270">
        <f t="shared" si="13"/>
        <v>110200051.48042211</v>
      </c>
      <c r="AX35" s="270">
        <f t="shared" si="13"/>
        <v>116430770.85404266</v>
      </c>
      <c r="AY35" s="270">
        <f t="shared" si="13"/>
        <v>122810537.76245996</v>
      </c>
      <c r="AZ35" s="270">
        <f t="shared" si="13"/>
        <v>129342882.46166459</v>
      </c>
      <c r="BA35" s="270">
        <f t="shared" si="13"/>
        <v>136031417.72725096</v>
      </c>
      <c r="BB35" s="270">
        <f t="shared" si="13"/>
        <v>142879840.7488119</v>
      </c>
      <c r="BC35" s="270">
        <f t="shared" si="13"/>
        <v>149891935.0667221</v>
      </c>
      <c r="BD35" s="270">
        <f t="shared" si="13"/>
        <v>157071572.55222374</v>
      </c>
      <c r="BE35" s="270">
        <f t="shared" si="13"/>
        <v>164422715.43174523</v>
      </c>
      <c r="BF35" s="270">
        <f t="shared" si="13"/>
        <v>171949418.35640311</v>
      </c>
      <c r="BG35" s="270">
        <f t="shared" si="13"/>
        <v>179655830.51765642</v>
      </c>
      <c r="BH35" s="270">
        <f t="shared" si="13"/>
        <v>187546197.81010208</v>
      </c>
      <c r="BI35" s="270">
        <f t="shared" si="13"/>
        <v>195624865.04241976</v>
      </c>
      <c r="BJ35" s="270">
        <f t="shared" si="13"/>
        <v>203896278.19749495</v>
      </c>
      <c r="BK35" s="270">
        <f t="shared" si="13"/>
        <v>212364986.74276921</v>
      </c>
      <c r="BL35" s="270">
        <f t="shared" si="13"/>
        <v>221035645.99188784</v>
      </c>
      <c r="BM35" s="270">
        <f t="shared" si="13"/>
        <v>229913019.51873621</v>
      </c>
      <c r="BN35" s="270">
        <f t="shared" si="13"/>
        <v>239001981.62497759</v>
      </c>
    </row>
    <row r="36" spans="1:66" s="178" customFormat="1" ht="13" x14ac:dyDescent="0.15">
      <c r="B36" s="265"/>
    </row>
    <row r="37" spans="1:66" s="178" customFormat="1" ht="13" x14ac:dyDescent="0.15">
      <c r="A37" s="232" t="s">
        <v>11</v>
      </c>
      <c r="B37" s="271"/>
      <c r="C37" s="272"/>
      <c r="D37" s="244">
        <f>D29-(D31+D32)</f>
        <v>22045328.101541739</v>
      </c>
      <c r="E37" s="273"/>
    </row>
    <row r="38" spans="1:66" s="178" customFormat="1" ht="13" x14ac:dyDescent="0.15">
      <c r="A38" s="236" t="s">
        <v>36</v>
      </c>
      <c r="B38" s="265"/>
      <c r="D38" s="280">
        <f>IRR(E35:AD35)</f>
        <v>4.9054838532549327E-2</v>
      </c>
      <c r="E38" s="281" t="s">
        <v>3</v>
      </c>
    </row>
    <row r="39" spans="1:66" s="178" customFormat="1" ht="13" x14ac:dyDescent="0.15">
      <c r="A39" s="238" t="s">
        <v>37</v>
      </c>
      <c r="B39" s="177"/>
      <c r="C39" s="225"/>
      <c r="D39" s="282">
        <f>6+ABS(K35/L34)</f>
        <v>10.696382591428538</v>
      </c>
      <c r="E39" s="283" t="s">
        <v>9</v>
      </c>
      <c r="F39" s="183"/>
      <c r="AK39" s="268"/>
    </row>
    <row r="40" spans="1:66" s="178" customFormat="1" ht="13" x14ac:dyDescent="0.15">
      <c r="B40" s="265"/>
    </row>
    <row r="41" spans="1:66" s="178" customFormat="1" ht="13" x14ac:dyDescent="0.15">
      <c r="A41" s="232" t="s">
        <v>13</v>
      </c>
      <c r="B41" s="271"/>
      <c r="C41" s="272"/>
      <c r="D41" s="247">
        <f>(D31+D32)/D24</f>
        <v>0.148832063817253</v>
      </c>
      <c r="E41" s="284" t="s">
        <v>15</v>
      </c>
    </row>
    <row r="42" spans="1:66" s="178" customFormat="1" ht="13" x14ac:dyDescent="0.15">
      <c r="A42" s="238" t="s">
        <v>13</v>
      </c>
      <c r="B42" s="177"/>
      <c r="C42" s="225"/>
      <c r="D42" s="248">
        <f>D41*1000</f>
        <v>148.83206381725302</v>
      </c>
      <c r="E42" s="285" t="s">
        <v>14</v>
      </c>
    </row>
    <row r="43" spans="1:66" x14ac:dyDescent="0.2">
      <c r="H43" s="66"/>
    </row>
    <row r="44" spans="1:66" x14ac:dyDescent="0.2">
      <c r="A44" s="26"/>
      <c r="H44" s="3"/>
      <c r="I44" s="60"/>
      <c r="J44" s="60"/>
    </row>
    <row r="45" spans="1:66" x14ac:dyDescent="0.2">
      <c r="A45" s="26"/>
      <c r="I45" s="60"/>
      <c r="J45" s="60"/>
    </row>
    <row r="46" spans="1:66" x14ac:dyDescent="0.2">
      <c r="I46" s="60"/>
      <c r="J46" s="60"/>
    </row>
    <row r="47" spans="1:66" x14ac:dyDescent="0.2">
      <c r="I47" s="60"/>
      <c r="J47" s="60"/>
    </row>
    <row r="48" spans="1:66" x14ac:dyDescent="0.2">
      <c r="B48" s="1"/>
      <c r="I48" s="60"/>
      <c r="J48" s="60"/>
    </row>
    <row r="49" spans="2:10" x14ac:dyDescent="0.2">
      <c r="B49" s="1"/>
      <c r="I49" s="64"/>
      <c r="J49" s="64"/>
    </row>
    <row r="50" spans="2:10" x14ac:dyDescent="0.2">
      <c r="B50" s="1"/>
      <c r="I50" s="67"/>
      <c r="J50" s="67"/>
    </row>
    <row r="51" spans="2:10" x14ac:dyDescent="0.2">
      <c r="B51" s="1"/>
      <c r="I51" s="38"/>
      <c r="J51" s="38"/>
    </row>
    <row r="52" spans="2:10" x14ac:dyDescent="0.2">
      <c r="B52" s="1"/>
    </row>
    <row r="53" spans="2:10" x14ac:dyDescent="0.2">
      <c r="B53" s="1"/>
    </row>
    <row r="55" spans="2:10" x14ac:dyDescent="0.2">
      <c r="B55" s="1"/>
    </row>
    <row r="56" spans="2:10" x14ac:dyDescent="0.2">
      <c r="B56" s="1"/>
    </row>
    <row r="57" spans="2:10" x14ac:dyDescent="0.2">
      <c r="B57" s="1"/>
    </row>
    <row r="58" spans="2:10" x14ac:dyDescent="0.2">
      <c r="B58" s="1"/>
    </row>
    <row r="59" spans="2:10" x14ac:dyDescent="0.2">
      <c r="B59" s="1"/>
    </row>
    <row r="60" spans="2:10" x14ac:dyDescent="0.2">
      <c r="B60" s="1"/>
    </row>
    <row r="61" spans="2:10" x14ac:dyDescent="0.2">
      <c r="B61" s="1"/>
    </row>
    <row r="62" spans="2:10" x14ac:dyDescent="0.2">
      <c r="B62" s="1"/>
    </row>
    <row r="63" spans="2:10" x14ac:dyDescent="0.2">
      <c r="B63" s="1"/>
    </row>
    <row r="64" spans="2:10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</sheetData>
  <mergeCells count="13">
    <mergeCell ref="M9:N9"/>
    <mergeCell ref="F7:G7"/>
    <mergeCell ref="F8:G8"/>
    <mergeCell ref="F9:G9"/>
    <mergeCell ref="F15:G15"/>
    <mergeCell ref="F16:G16"/>
    <mergeCell ref="F17:G17"/>
    <mergeCell ref="F6:I6"/>
    <mergeCell ref="F10:G10"/>
    <mergeCell ref="F11:G11"/>
    <mergeCell ref="F12:G12"/>
    <mergeCell ref="F13:G13"/>
    <mergeCell ref="F14:G14"/>
  </mergeCells>
  <hyperlinks>
    <hyperlink ref="C8" r:id="rId1" xr:uid="{E2762DC7-343B-414D-B8EB-77A0A2AA8A67}"/>
    <hyperlink ref="C9" r:id="rId2" xr:uid="{763DBB6A-3972-4DF6-914E-0840E0F997C9}"/>
  </hyperlinks>
  <pageMargins left="0.7" right="0.7" top="0.75" bottom="0.75" header="0.3" footer="0.3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66BD-DDE9-4159-B6B3-6268F21FD3B7}">
  <dimension ref="A1:BN91"/>
  <sheetViews>
    <sheetView showGridLines="0" topLeftCell="A12" zoomScale="84" zoomScaleNormal="84" workbookViewId="0"/>
  </sheetViews>
  <sheetFormatPr baseColWidth="10" defaultColWidth="8.83203125" defaultRowHeight="15" x14ac:dyDescent="0.2"/>
  <cols>
    <col min="1" max="1" width="5.83203125" style="1" customWidth="1"/>
    <col min="2" max="2" width="23.83203125" style="1" bestFit="1" customWidth="1"/>
    <col min="3" max="3" width="10.33203125" style="2" bestFit="1" customWidth="1"/>
    <col min="4" max="4" width="16.1640625" style="1" bestFit="1" customWidth="1"/>
    <col min="5" max="5" width="16.5" style="1" bestFit="1" customWidth="1"/>
    <col min="6" max="6" width="16.33203125" style="1" customWidth="1"/>
    <col min="7" max="7" width="15.83203125" style="1" customWidth="1"/>
    <col min="8" max="8" width="15" style="1" bestFit="1" customWidth="1"/>
    <col min="9" max="11" width="12.5" style="1" bestFit="1" customWidth="1"/>
    <col min="12" max="12" width="18.5" style="1" bestFit="1" customWidth="1"/>
    <col min="13" max="45" width="16.1640625" style="1" bestFit="1" customWidth="1"/>
    <col min="46" max="54" width="13.5" style="1" bestFit="1" customWidth="1"/>
    <col min="55" max="66" width="14.33203125" style="1" bestFit="1" customWidth="1"/>
    <col min="67" max="16384" width="8.83203125" style="1"/>
  </cols>
  <sheetData>
    <row r="1" spans="1:66" x14ac:dyDescent="0.2">
      <c r="A1" s="96" t="s">
        <v>357</v>
      </c>
    </row>
    <row r="2" spans="1:66" x14ac:dyDescent="0.2">
      <c r="A2" s="97" t="s">
        <v>370</v>
      </c>
    </row>
    <row r="4" spans="1:66" x14ac:dyDescent="0.2">
      <c r="A4" s="74"/>
      <c r="B4" s="172" t="s">
        <v>39</v>
      </c>
      <c r="C4" s="75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</row>
    <row r="5" spans="1:66" x14ac:dyDescent="0.2">
      <c r="A5" s="175" t="s">
        <v>47</v>
      </c>
      <c r="B5" s="176"/>
      <c r="C5" s="177"/>
      <c r="D5" s="176" t="s">
        <v>0</v>
      </c>
    </row>
    <row r="6" spans="1:66" x14ac:dyDescent="0.2">
      <c r="A6" s="178"/>
      <c r="B6" s="179" t="s">
        <v>1</v>
      </c>
      <c r="C6" s="180">
        <v>10</v>
      </c>
      <c r="D6" s="178" t="s">
        <v>2</v>
      </c>
      <c r="F6" s="338" t="s">
        <v>278</v>
      </c>
      <c r="G6" s="338"/>
      <c r="H6" s="338"/>
    </row>
    <row r="7" spans="1:66" x14ac:dyDescent="0.2">
      <c r="A7" s="178"/>
      <c r="B7" s="179" t="s">
        <v>44</v>
      </c>
      <c r="C7" s="182">
        <v>365</v>
      </c>
      <c r="D7" s="178" t="s">
        <v>256</v>
      </c>
      <c r="F7" s="339" t="s">
        <v>84</v>
      </c>
      <c r="G7" s="340"/>
      <c r="H7" s="256">
        <v>60</v>
      </c>
    </row>
    <row r="8" spans="1:66" x14ac:dyDescent="0.2">
      <c r="A8" s="178"/>
      <c r="B8" s="179" t="s">
        <v>21</v>
      </c>
      <c r="C8" s="182">
        <v>10</v>
      </c>
      <c r="D8" s="178" t="s">
        <v>46</v>
      </c>
      <c r="F8" s="341" t="s">
        <v>94</v>
      </c>
      <c r="G8" s="342"/>
      <c r="H8" s="257">
        <v>0.06</v>
      </c>
    </row>
    <row r="9" spans="1:66" x14ac:dyDescent="0.2">
      <c r="A9" s="178"/>
      <c r="B9" s="178" t="s">
        <v>19</v>
      </c>
      <c r="C9" s="184">
        <v>0.8</v>
      </c>
      <c r="D9" s="178" t="s">
        <v>3</v>
      </c>
      <c r="F9" s="334" t="s">
        <v>88</v>
      </c>
      <c r="G9" s="335"/>
      <c r="H9" s="256">
        <v>580697.31069214293</v>
      </c>
    </row>
    <row r="10" spans="1:66" x14ac:dyDescent="0.2">
      <c r="A10" s="178"/>
      <c r="B10" s="179" t="s">
        <v>20</v>
      </c>
      <c r="C10" s="185">
        <v>1E-3</v>
      </c>
      <c r="D10" s="178" t="s">
        <v>3</v>
      </c>
      <c r="F10" s="334" t="s">
        <v>89</v>
      </c>
      <c r="G10" s="335"/>
      <c r="H10" s="258">
        <v>736627.77391243307</v>
      </c>
    </row>
    <row r="11" spans="1:66" x14ac:dyDescent="0.2">
      <c r="A11" s="178"/>
      <c r="B11" s="179" t="s">
        <v>57</v>
      </c>
      <c r="C11" s="186">
        <v>3000</v>
      </c>
      <c r="D11" s="187" t="s">
        <v>5</v>
      </c>
      <c r="F11" s="334" t="s">
        <v>91</v>
      </c>
      <c r="G11" s="335"/>
      <c r="H11" s="77">
        <v>200</v>
      </c>
    </row>
    <row r="12" spans="1:66" x14ac:dyDescent="0.2">
      <c r="A12" s="178"/>
      <c r="B12" s="179" t="s">
        <v>58</v>
      </c>
      <c r="C12" s="186">
        <v>20</v>
      </c>
      <c r="D12" s="187" t="s">
        <v>59</v>
      </c>
      <c r="F12" s="334" t="s">
        <v>76</v>
      </c>
      <c r="G12" s="335"/>
      <c r="H12" s="77">
        <v>195491801.38513619</v>
      </c>
    </row>
    <row r="13" spans="1:66" x14ac:dyDescent="0.2">
      <c r="A13" s="178"/>
      <c r="B13" s="179" t="s">
        <v>17</v>
      </c>
      <c r="C13" s="185">
        <v>0.06</v>
      </c>
      <c r="D13" s="178" t="s">
        <v>3</v>
      </c>
      <c r="F13" s="334" t="s">
        <v>77</v>
      </c>
      <c r="G13" s="335"/>
      <c r="H13" s="77">
        <v>51000000</v>
      </c>
    </row>
    <row r="14" spans="1:66" x14ac:dyDescent="0.2">
      <c r="A14" s="178"/>
      <c r="B14" s="188" t="s">
        <v>56</v>
      </c>
      <c r="C14" s="189">
        <v>1.7</v>
      </c>
      <c r="D14" s="178" t="s">
        <v>55</v>
      </c>
      <c r="F14" s="334" t="s">
        <v>78</v>
      </c>
      <c r="G14" s="335"/>
      <c r="H14" s="259">
        <v>9309199.4785956088</v>
      </c>
    </row>
    <row r="15" spans="1:66" x14ac:dyDescent="0.2">
      <c r="A15" s="178"/>
      <c r="B15" s="179" t="s">
        <v>4</v>
      </c>
      <c r="C15" s="185">
        <v>0.03</v>
      </c>
      <c r="D15" s="178" t="s">
        <v>3</v>
      </c>
      <c r="F15" s="334" t="s">
        <v>92</v>
      </c>
      <c r="G15" s="335"/>
      <c r="H15" s="260" t="s">
        <v>86</v>
      </c>
    </row>
    <row r="16" spans="1:66" x14ac:dyDescent="0.2">
      <c r="A16" s="178"/>
      <c r="B16" s="179" t="s">
        <v>8</v>
      </c>
      <c r="C16" s="180">
        <v>60</v>
      </c>
      <c r="D16" s="178" t="s">
        <v>45</v>
      </c>
      <c r="F16" s="334" t="s">
        <v>87</v>
      </c>
      <c r="G16" s="335"/>
      <c r="H16" s="259">
        <v>87444870.10224919</v>
      </c>
    </row>
    <row r="17" spans="1:66" x14ac:dyDescent="0.2">
      <c r="A17" s="178"/>
      <c r="B17" s="179" t="s">
        <v>25</v>
      </c>
      <c r="C17" s="261">
        <v>70</v>
      </c>
      <c r="D17" s="178" t="s">
        <v>14</v>
      </c>
      <c r="F17" s="334" t="s">
        <v>79</v>
      </c>
      <c r="G17" s="335"/>
      <c r="H17" s="259">
        <v>47737731.804291397</v>
      </c>
    </row>
    <row r="18" spans="1:66" x14ac:dyDescent="0.2">
      <c r="A18" s="178"/>
      <c r="B18" s="179" t="s">
        <v>26</v>
      </c>
      <c r="C18" s="261">
        <v>200</v>
      </c>
      <c r="D18" s="178" t="s">
        <v>14</v>
      </c>
      <c r="F18" s="334" t="s">
        <v>80</v>
      </c>
      <c r="G18" s="335"/>
      <c r="H18" s="257">
        <v>9.7875706580222044E-2</v>
      </c>
    </row>
    <row r="19" spans="1:66" x14ac:dyDescent="0.2">
      <c r="A19" s="181" t="s">
        <v>48</v>
      </c>
      <c r="B19" s="179"/>
      <c r="C19" s="180"/>
      <c r="D19" s="178"/>
      <c r="F19" s="334" t="s">
        <v>81</v>
      </c>
      <c r="G19" s="335"/>
      <c r="H19" s="256">
        <v>11.657635339928964</v>
      </c>
    </row>
    <row r="20" spans="1:66" x14ac:dyDescent="0.2">
      <c r="A20" s="178"/>
      <c r="B20" s="179" t="s">
        <v>6</v>
      </c>
      <c r="C20" s="193">
        <f>C6*C7*C8</f>
        <v>36500</v>
      </c>
      <c r="D20" s="179" t="s">
        <v>7</v>
      </c>
      <c r="E20" s="60"/>
      <c r="F20" s="334" t="s">
        <v>82</v>
      </c>
      <c r="G20" s="335"/>
      <c r="H20" s="259">
        <v>0.25444248984851364</v>
      </c>
    </row>
    <row r="21" spans="1:66" x14ac:dyDescent="0.2">
      <c r="A21" s="178"/>
      <c r="B21" s="178" t="s">
        <v>24</v>
      </c>
      <c r="C21" s="196">
        <f>C20/C9</f>
        <v>45625</v>
      </c>
      <c r="D21" s="178" t="s">
        <v>7</v>
      </c>
      <c r="F21" s="334" t="s">
        <v>85</v>
      </c>
      <c r="G21" s="335"/>
      <c r="H21" s="259">
        <v>254.44248984851365</v>
      </c>
    </row>
    <row r="22" spans="1:66" x14ac:dyDescent="0.2">
      <c r="B22" s="3"/>
    </row>
    <row r="23" spans="1:66" x14ac:dyDescent="0.2">
      <c r="A23" s="46"/>
      <c r="B23" s="174" t="s">
        <v>38</v>
      </c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</row>
    <row r="25" spans="1:66" customFormat="1" x14ac:dyDescent="0.2">
      <c r="A25" s="72"/>
      <c r="B25" s="173" t="s">
        <v>8</v>
      </c>
      <c r="C25" s="73"/>
      <c r="D25" s="73"/>
      <c r="E25" s="73"/>
      <c r="F25" s="73">
        <v>0</v>
      </c>
      <c r="G25" s="73">
        <v>1</v>
      </c>
      <c r="H25" s="73">
        <v>2</v>
      </c>
      <c r="I25" s="73">
        <v>3</v>
      </c>
      <c r="J25" s="73">
        <v>4</v>
      </c>
      <c r="K25" s="73">
        <v>5</v>
      </c>
      <c r="L25" s="73">
        <v>6</v>
      </c>
      <c r="M25" s="73">
        <v>7</v>
      </c>
      <c r="N25" s="73">
        <v>8</v>
      </c>
      <c r="O25" s="73">
        <v>9</v>
      </c>
      <c r="P25" s="73">
        <v>10</v>
      </c>
      <c r="Q25" s="73">
        <v>11</v>
      </c>
      <c r="R25" s="73">
        <v>12</v>
      </c>
      <c r="S25" s="73">
        <v>13</v>
      </c>
      <c r="T25" s="73">
        <v>14</v>
      </c>
      <c r="U25" s="73">
        <v>15</v>
      </c>
      <c r="V25" s="73">
        <v>16</v>
      </c>
      <c r="W25" s="73">
        <v>17</v>
      </c>
      <c r="X25" s="73">
        <v>18</v>
      </c>
      <c r="Y25" s="73">
        <v>19</v>
      </c>
      <c r="Z25" s="73">
        <v>20</v>
      </c>
      <c r="AA25" s="73">
        <v>21</v>
      </c>
      <c r="AB25" s="73">
        <v>22</v>
      </c>
      <c r="AC25" s="73">
        <v>23</v>
      </c>
      <c r="AD25" s="73">
        <v>24</v>
      </c>
      <c r="AE25" s="73">
        <v>25</v>
      </c>
      <c r="AF25" s="73">
        <v>26</v>
      </c>
      <c r="AG25" s="73">
        <v>27</v>
      </c>
      <c r="AH25" s="73">
        <v>28</v>
      </c>
      <c r="AI25" s="73">
        <v>29</v>
      </c>
      <c r="AJ25" s="73">
        <v>30</v>
      </c>
      <c r="AK25" s="73">
        <v>31</v>
      </c>
      <c r="AL25" s="73">
        <v>32</v>
      </c>
      <c r="AM25" s="73">
        <v>33</v>
      </c>
      <c r="AN25" s="73">
        <v>34</v>
      </c>
      <c r="AO25" s="73">
        <v>35</v>
      </c>
      <c r="AP25" s="73">
        <v>36</v>
      </c>
      <c r="AQ25" s="73">
        <v>37</v>
      </c>
      <c r="AR25" s="73">
        <v>38</v>
      </c>
      <c r="AS25" s="73">
        <v>39</v>
      </c>
      <c r="AT25" s="73">
        <v>40</v>
      </c>
      <c r="AU25" s="73">
        <v>41</v>
      </c>
      <c r="AV25" s="73">
        <v>42</v>
      </c>
      <c r="AW25" s="73">
        <v>43</v>
      </c>
      <c r="AX25" s="73">
        <v>44</v>
      </c>
      <c r="AY25" s="73">
        <v>45</v>
      </c>
      <c r="AZ25" s="73">
        <v>46</v>
      </c>
      <c r="BA25" s="73">
        <v>47</v>
      </c>
      <c r="BB25" s="73">
        <v>48</v>
      </c>
      <c r="BC25" s="73">
        <v>49</v>
      </c>
      <c r="BD25" s="73">
        <v>50</v>
      </c>
      <c r="BE25" s="73">
        <v>51</v>
      </c>
      <c r="BF25" s="73">
        <v>52</v>
      </c>
      <c r="BG25" s="73">
        <v>53</v>
      </c>
      <c r="BH25" s="73">
        <v>54</v>
      </c>
      <c r="BI25" s="73">
        <v>55</v>
      </c>
      <c r="BJ25" s="73">
        <v>56</v>
      </c>
      <c r="BK25" s="73">
        <v>57</v>
      </c>
      <c r="BL25" s="73">
        <v>58</v>
      </c>
      <c r="BM25" s="73">
        <v>59</v>
      </c>
      <c r="BN25" s="73">
        <v>60</v>
      </c>
    </row>
    <row r="26" spans="1:66" s="201" customFormat="1" ht="13" x14ac:dyDescent="0.15">
      <c r="A26" s="197" t="s">
        <v>50</v>
      </c>
      <c r="B26" s="198"/>
      <c r="C26" s="199"/>
      <c r="D26" s="199"/>
      <c r="E26" s="286" t="s">
        <v>11</v>
      </c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66" s="201" customFormat="1" ht="13" x14ac:dyDescent="0.15">
      <c r="B27" s="179" t="s">
        <v>20</v>
      </c>
      <c r="C27" s="199"/>
      <c r="D27" s="199"/>
      <c r="G27" s="202">
        <f t="shared" ref="G27:BN27" si="0">$C$10</f>
        <v>1E-3</v>
      </c>
      <c r="H27" s="202">
        <f t="shared" si="0"/>
        <v>1E-3</v>
      </c>
      <c r="I27" s="202">
        <f t="shared" si="0"/>
        <v>1E-3</v>
      </c>
      <c r="J27" s="202">
        <f t="shared" si="0"/>
        <v>1E-3</v>
      </c>
      <c r="K27" s="202">
        <f t="shared" si="0"/>
        <v>1E-3</v>
      </c>
      <c r="L27" s="202">
        <f t="shared" si="0"/>
        <v>1E-3</v>
      </c>
      <c r="M27" s="202">
        <f t="shared" si="0"/>
        <v>1E-3</v>
      </c>
      <c r="N27" s="202">
        <f t="shared" si="0"/>
        <v>1E-3</v>
      </c>
      <c r="O27" s="202">
        <f t="shared" si="0"/>
        <v>1E-3</v>
      </c>
      <c r="P27" s="202">
        <f t="shared" si="0"/>
        <v>1E-3</v>
      </c>
      <c r="Q27" s="202">
        <f t="shared" si="0"/>
        <v>1E-3</v>
      </c>
      <c r="R27" s="202">
        <f t="shared" si="0"/>
        <v>1E-3</v>
      </c>
      <c r="S27" s="202">
        <f t="shared" si="0"/>
        <v>1E-3</v>
      </c>
      <c r="T27" s="202">
        <f t="shared" si="0"/>
        <v>1E-3</v>
      </c>
      <c r="U27" s="202">
        <f t="shared" si="0"/>
        <v>1E-3</v>
      </c>
      <c r="V27" s="202">
        <f t="shared" si="0"/>
        <v>1E-3</v>
      </c>
      <c r="W27" s="202">
        <f t="shared" si="0"/>
        <v>1E-3</v>
      </c>
      <c r="X27" s="202">
        <f t="shared" si="0"/>
        <v>1E-3</v>
      </c>
      <c r="Y27" s="202">
        <f t="shared" si="0"/>
        <v>1E-3</v>
      </c>
      <c r="Z27" s="202">
        <f t="shared" si="0"/>
        <v>1E-3</v>
      </c>
      <c r="AA27" s="202">
        <f t="shared" si="0"/>
        <v>1E-3</v>
      </c>
      <c r="AB27" s="202">
        <f t="shared" si="0"/>
        <v>1E-3</v>
      </c>
      <c r="AC27" s="202">
        <f t="shared" si="0"/>
        <v>1E-3</v>
      </c>
      <c r="AD27" s="202">
        <f t="shared" si="0"/>
        <v>1E-3</v>
      </c>
      <c r="AE27" s="202">
        <f t="shared" si="0"/>
        <v>1E-3</v>
      </c>
      <c r="AF27" s="202">
        <f t="shared" si="0"/>
        <v>1E-3</v>
      </c>
      <c r="AG27" s="202">
        <f t="shared" si="0"/>
        <v>1E-3</v>
      </c>
      <c r="AH27" s="202">
        <f t="shared" si="0"/>
        <v>1E-3</v>
      </c>
      <c r="AI27" s="202">
        <f t="shared" si="0"/>
        <v>1E-3</v>
      </c>
      <c r="AJ27" s="202">
        <f t="shared" si="0"/>
        <v>1E-3</v>
      </c>
      <c r="AK27" s="202">
        <f t="shared" si="0"/>
        <v>1E-3</v>
      </c>
      <c r="AL27" s="202">
        <f t="shared" si="0"/>
        <v>1E-3</v>
      </c>
      <c r="AM27" s="202">
        <f t="shared" si="0"/>
        <v>1E-3</v>
      </c>
      <c r="AN27" s="202">
        <f t="shared" si="0"/>
        <v>1E-3</v>
      </c>
      <c r="AO27" s="202">
        <f t="shared" si="0"/>
        <v>1E-3</v>
      </c>
      <c r="AP27" s="202">
        <f t="shared" si="0"/>
        <v>1E-3</v>
      </c>
      <c r="AQ27" s="202">
        <f t="shared" si="0"/>
        <v>1E-3</v>
      </c>
      <c r="AR27" s="202">
        <f t="shared" si="0"/>
        <v>1E-3</v>
      </c>
      <c r="AS27" s="202">
        <f t="shared" si="0"/>
        <v>1E-3</v>
      </c>
      <c r="AT27" s="202">
        <f t="shared" si="0"/>
        <v>1E-3</v>
      </c>
      <c r="AU27" s="202">
        <f t="shared" si="0"/>
        <v>1E-3</v>
      </c>
      <c r="AV27" s="202">
        <f t="shared" si="0"/>
        <v>1E-3</v>
      </c>
      <c r="AW27" s="202">
        <f t="shared" si="0"/>
        <v>1E-3</v>
      </c>
      <c r="AX27" s="202">
        <f t="shared" si="0"/>
        <v>1E-3</v>
      </c>
      <c r="AY27" s="202">
        <f t="shared" si="0"/>
        <v>1E-3</v>
      </c>
      <c r="AZ27" s="202">
        <f t="shared" si="0"/>
        <v>1E-3</v>
      </c>
      <c r="BA27" s="202">
        <f t="shared" si="0"/>
        <v>1E-3</v>
      </c>
      <c r="BB27" s="202">
        <f t="shared" si="0"/>
        <v>1E-3</v>
      </c>
      <c r="BC27" s="202">
        <f t="shared" si="0"/>
        <v>1E-3</v>
      </c>
      <c r="BD27" s="202">
        <f t="shared" si="0"/>
        <v>1E-3</v>
      </c>
      <c r="BE27" s="202">
        <f t="shared" si="0"/>
        <v>1E-3</v>
      </c>
      <c r="BF27" s="202">
        <f t="shared" si="0"/>
        <v>1E-3</v>
      </c>
      <c r="BG27" s="202">
        <f t="shared" si="0"/>
        <v>1E-3</v>
      </c>
      <c r="BH27" s="202">
        <f t="shared" si="0"/>
        <v>1E-3</v>
      </c>
      <c r="BI27" s="202">
        <f t="shared" si="0"/>
        <v>1E-3</v>
      </c>
      <c r="BJ27" s="202">
        <f t="shared" si="0"/>
        <v>1E-3</v>
      </c>
      <c r="BK27" s="202">
        <f t="shared" si="0"/>
        <v>1E-3</v>
      </c>
      <c r="BL27" s="202">
        <f t="shared" si="0"/>
        <v>1E-3</v>
      </c>
      <c r="BM27" s="202">
        <f t="shared" si="0"/>
        <v>1E-3</v>
      </c>
      <c r="BN27" s="202">
        <f t="shared" si="0"/>
        <v>1E-3</v>
      </c>
    </row>
    <row r="28" spans="1:66" s="201" customFormat="1" ht="13" x14ac:dyDescent="0.15">
      <c r="B28" s="179" t="s">
        <v>12</v>
      </c>
      <c r="C28" s="199"/>
      <c r="D28" s="199"/>
      <c r="E28" s="203">
        <f>NPV($C$13,G28:BN28)+F28</f>
        <v>580697310.69214308</v>
      </c>
      <c r="G28" s="204">
        <f>$C$20*1000*(1-G27)</f>
        <v>36463500</v>
      </c>
      <c r="H28" s="204">
        <f t="shared" ref="H28:Z28" si="1">G28*(1-H27)</f>
        <v>36427036.5</v>
      </c>
      <c r="I28" s="204">
        <f t="shared" si="1"/>
        <v>36390609.463500001</v>
      </c>
      <c r="J28" s="204">
        <f>I28*(1-J27)</f>
        <v>36354218.854036503</v>
      </c>
      <c r="K28" s="204">
        <f t="shared" si="1"/>
        <v>36317864.635182463</v>
      </c>
      <c r="L28" s="204">
        <f t="shared" si="1"/>
        <v>36281546.770547278</v>
      </c>
      <c r="M28" s="204">
        <f t="shared" si="1"/>
        <v>36245265.223776728</v>
      </c>
      <c r="N28" s="204">
        <f t="shared" si="1"/>
        <v>36209019.958552949</v>
      </c>
      <c r="O28" s="204">
        <f t="shared" si="1"/>
        <v>36172810.938594393</v>
      </c>
      <c r="P28" s="204">
        <f t="shared" si="1"/>
        <v>36136638.127655797</v>
      </c>
      <c r="Q28" s="204">
        <f>P28*(1-Q27)</f>
        <v>36100501.489528142</v>
      </c>
      <c r="R28" s="204">
        <f t="shared" si="1"/>
        <v>36064400.988038614</v>
      </c>
      <c r="S28" s="204">
        <f t="shared" si="1"/>
        <v>36028336.587050572</v>
      </c>
      <c r="T28" s="204">
        <f t="shared" si="1"/>
        <v>35992308.250463523</v>
      </c>
      <c r="U28" s="204">
        <f t="shared" si="1"/>
        <v>35956315.942213058</v>
      </c>
      <c r="V28" s="204">
        <f t="shared" si="1"/>
        <v>35920359.626270846</v>
      </c>
      <c r="W28" s="204">
        <f t="shared" si="1"/>
        <v>35884439.266644575</v>
      </c>
      <c r="X28" s="204">
        <f t="shared" si="1"/>
        <v>35848554.82737793</v>
      </c>
      <c r="Y28" s="204">
        <f t="shared" si="1"/>
        <v>35812706.272550553</v>
      </c>
      <c r="Z28" s="204">
        <f t="shared" si="1"/>
        <v>35776893.566278003</v>
      </c>
      <c r="AA28" s="204">
        <f t="shared" ref="AA28" si="2">Z28*(1-AA27)</f>
        <v>35741116.672711723</v>
      </c>
      <c r="AB28" s="204">
        <f t="shared" ref="AB28" si="3">AA28*(1-AB27)</f>
        <v>35705375.556039013</v>
      </c>
      <c r="AC28" s="204">
        <f t="shared" ref="AC28" si="4">AB28*(1-AC27)</f>
        <v>35669670.180482976</v>
      </c>
      <c r="AD28" s="204">
        <f t="shared" ref="AD28:AF28" si="5">AC28*(1-AD27)</f>
        <v>35634000.510302491</v>
      </c>
      <c r="AE28" s="204">
        <f t="shared" ref="AE28" si="6">AD28*(1-AE27)</f>
        <v>35598366.509792186</v>
      </c>
      <c r="AF28" s="204">
        <f t="shared" si="5"/>
        <v>35562768.143282391</v>
      </c>
      <c r="AG28" s="204">
        <f t="shared" ref="AG28" si="7">AF28*(1-AG27)</f>
        <v>35527205.37513911</v>
      </c>
      <c r="AH28" s="204">
        <f t="shared" ref="AH28" si="8">AG28*(1-AH27)</f>
        <v>35491678.169763967</v>
      </c>
      <c r="AI28" s="204">
        <f t="shared" ref="AI28" si="9">AH28*(1-AI27)</f>
        <v>35456186.491594203</v>
      </c>
      <c r="AJ28" s="204">
        <f t="shared" ref="AJ28" si="10">AI28*(1-AJ27)</f>
        <v>35420730.305102609</v>
      </c>
      <c r="AK28" s="204">
        <f t="shared" ref="AK28" si="11">AJ28*(1-AK27)</f>
        <v>35385309.574797504</v>
      </c>
      <c r="AL28" s="204">
        <f t="shared" ref="AL28" si="12">AK28*(1-AL27)</f>
        <v>35349924.265222706</v>
      </c>
      <c r="AM28" s="204">
        <f t="shared" ref="AM28" si="13">AL28*(1-AM27)</f>
        <v>35314574.340957485</v>
      </c>
      <c r="AN28" s="204">
        <f t="shared" ref="AN28" si="14">AM28*(1-AN27)</f>
        <v>35279259.766616531</v>
      </c>
      <c r="AO28" s="204">
        <f t="shared" ref="AO28" si="15">AN28*(1-AO27)</f>
        <v>35243980.506849915</v>
      </c>
      <c r="AP28" s="204">
        <f t="shared" ref="AP28" si="16">AO28*(1-AP27)</f>
        <v>35208736.526343063</v>
      </c>
      <c r="AQ28" s="204">
        <f t="shared" ref="AQ28" si="17">AP28*(1-AQ27)</f>
        <v>35173527.789816722</v>
      </c>
      <c r="AR28" s="204">
        <f t="shared" ref="AR28" si="18">AQ28*(1-AR27)</f>
        <v>35138354.262026906</v>
      </c>
      <c r="AS28" s="204">
        <f t="shared" ref="AS28" si="19">AR28*(1-AS27)</f>
        <v>35103215.907764882</v>
      </c>
      <c r="AT28" s="204">
        <f t="shared" ref="AT28" si="20">AS28*(1-AT27)</f>
        <v>35068112.691857114</v>
      </c>
      <c r="AU28" s="204">
        <f t="shared" ref="AU28" si="21">AT28*(1-AU27)</f>
        <v>35033044.579165258</v>
      </c>
      <c r="AV28" s="204">
        <f t="shared" ref="AV28" si="22">AU28*(1-AV27)</f>
        <v>34998011.534586094</v>
      </c>
      <c r="AW28" s="204">
        <f t="shared" ref="AW28" si="23">AV28*(1-AW27)</f>
        <v>34963013.523051508</v>
      </c>
      <c r="AX28" s="204">
        <f t="shared" ref="AX28" si="24">AW28*(1-AX27)</f>
        <v>34928050.509528458</v>
      </c>
      <c r="AY28" s="204">
        <f t="shared" ref="AY28" si="25">AX28*(1-AY27)</f>
        <v>34893122.459018931</v>
      </c>
      <c r="AZ28" s="204">
        <f t="shared" ref="AZ28" si="26">AY28*(1-AZ27)</f>
        <v>34858229.336559914</v>
      </c>
      <c r="BA28" s="204">
        <f t="shared" ref="BA28" si="27">AZ28*(1-BA27)</f>
        <v>34823371.107223354</v>
      </c>
      <c r="BB28" s="204">
        <f t="shared" ref="BB28" si="28">BA28*(1-BB27)</f>
        <v>34788547.736116134</v>
      </c>
      <c r="BC28" s="204">
        <f t="shared" ref="BC28" si="29">BB28*(1-BC27)</f>
        <v>34753759.188380018</v>
      </c>
      <c r="BD28" s="204">
        <f t="shared" ref="BD28" si="30">BC28*(1-BD27)</f>
        <v>34719005.429191642</v>
      </c>
      <c r="BE28" s="204">
        <f t="shared" ref="BE28" si="31">BD28*(1-BE27)</f>
        <v>34684286.423762448</v>
      </c>
      <c r="BF28" s="204">
        <f t="shared" ref="BF28" si="32">BE28*(1-BF27)</f>
        <v>34649602.137338683</v>
      </c>
      <c r="BG28" s="204">
        <f t="shared" ref="BG28" si="33">BF28*(1-BG27)</f>
        <v>34614952.535201341</v>
      </c>
      <c r="BH28" s="204">
        <f t="shared" ref="BH28" si="34">BG28*(1-BH27)</f>
        <v>34580337.582666136</v>
      </c>
      <c r="BI28" s="204">
        <f t="shared" ref="BI28" si="35">BH28*(1-BI27)</f>
        <v>34545757.245083474</v>
      </c>
      <c r="BJ28" s="204">
        <f t="shared" ref="BJ28" si="36">BI28*(1-BJ27)</f>
        <v>34511211.487838387</v>
      </c>
      <c r="BK28" s="204">
        <f t="shared" ref="BK28" si="37">BJ28*(1-BK27)</f>
        <v>34476700.27635055</v>
      </c>
      <c r="BL28" s="204">
        <f t="shared" ref="BL28" si="38">BK28*(1-BL27)</f>
        <v>34442223.576074198</v>
      </c>
      <c r="BM28" s="204">
        <f t="shared" ref="BM28" si="39">BL28*(1-BM27)</f>
        <v>34407781.352498122</v>
      </c>
      <c r="BN28" s="204">
        <f t="shared" ref="BN28" si="40">BM28*(1-BN27)</f>
        <v>34373373.571145624</v>
      </c>
    </row>
    <row r="29" spans="1:66" s="201" customFormat="1" ht="13" x14ac:dyDescent="0.15">
      <c r="B29" s="179" t="s">
        <v>93</v>
      </c>
      <c r="C29" s="199"/>
      <c r="D29" s="199"/>
      <c r="E29" s="203">
        <f>NPV($C$13,G29:BN29)</f>
        <v>736627773.91243291</v>
      </c>
      <c r="G29" s="204">
        <f>$C$21*1000*(1-G27)</f>
        <v>45579375</v>
      </c>
      <c r="H29" s="204">
        <f t="shared" ref="H29:BN29" si="41">$C$21*1000*(1-H27)</f>
        <v>45579375</v>
      </c>
      <c r="I29" s="204">
        <f t="shared" si="41"/>
        <v>45579375</v>
      </c>
      <c r="J29" s="204">
        <f t="shared" si="41"/>
        <v>45579375</v>
      </c>
      <c r="K29" s="204">
        <f t="shared" si="41"/>
        <v>45579375</v>
      </c>
      <c r="L29" s="204">
        <f t="shared" si="41"/>
        <v>45579375</v>
      </c>
      <c r="M29" s="204">
        <f t="shared" si="41"/>
        <v>45579375</v>
      </c>
      <c r="N29" s="204">
        <f t="shared" si="41"/>
        <v>45579375</v>
      </c>
      <c r="O29" s="204">
        <f t="shared" si="41"/>
        <v>45579375</v>
      </c>
      <c r="P29" s="204">
        <f t="shared" si="41"/>
        <v>45579375</v>
      </c>
      <c r="Q29" s="204">
        <f t="shared" si="41"/>
        <v>45579375</v>
      </c>
      <c r="R29" s="204">
        <f t="shared" si="41"/>
        <v>45579375</v>
      </c>
      <c r="S29" s="204">
        <f t="shared" si="41"/>
        <v>45579375</v>
      </c>
      <c r="T29" s="204">
        <f t="shared" si="41"/>
        <v>45579375</v>
      </c>
      <c r="U29" s="204">
        <f t="shared" si="41"/>
        <v>45579375</v>
      </c>
      <c r="V29" s="204">
        <f t="shared" si="41"/>
        <v>45579375</v>
      </c>
      <c r="W29" s="204">
        <f t="shared" si="41"/>
        <v>45579375</v>
      </c>
      <c r="X29" s="204">
        <f t="shared" si="41"/>
        <v>45579375</v>
      </c>
      <c r="Y29" s="204">
        <f t="shared" si="41"/>
        <v>45579375</v>
      </c>
      <c r="Z29" s="204">
        <f t="shared" si="41"/>
        <v>45579375</v>
      </c>
      <c r="AA29" s="204">
        <f t="shared" si="41"/>
        <v>45579375</v>
      </c>
      <c r="AB29" s="204">
        <f t="shared" si="41"/>
        <v>45579375</v>
      </c>
      <c r="AC29" s="204">
        <f t="shared" si="41"/>
        <v>45579375</v>
      </c>
      <c r="AD29" s="204">
        <f t="shared" si="41"/>
        <v>45579375</v>
      </c>
      <c r="AE29" s="204">
        <f t="shared" si="41"/>
        <v>45579375</v>
      </c>
      <c r="AF29" s="204">
        <f t="shared" si="41"/>
        <v>45579375</v>
      </c>
      <c r="AG29" s="204">
        <f t="shared" si="41"/>
        <v>45579375</v>
      </c>
      <c r="AH29" s="204">
        <f t="shared" si="41"/>
        <v>45579375</v>
      </c>
      <c r="AI29" s="204">
        <f t="shared" si="41"/>
        <v>45579375</v>
      </c>
      <c r="AJ29" s="204">
        <f t="shared" si="41"/>
        <v>45579375</v>
      </c>
      <c r="AK29" s="204">
        <f t="shared" si="41"/>
        <v>45579375</v>
      </c>
      <c r="AL29" s="204">
        <f t="shared" si="41"/>
        <v>45579375</v>
      </c>
      <c r="AM29" s="204">
        <f t="shared" si="41"/>
        <v>45579375</v>
      </c>
      <c r="AN29" s="204">
        <f t="shared" si="41"/>
        <v>45579375</v>
      </c>
      <c r="AO29" s="204">
        <f t="shared" si="41"/>
        <v>45579375</v>
      </c>
      <c r="AP29" s="204">
        <f t="shared" si="41"/>
        <v>45579375</v>
      </c>
      <c r="AQ29" s="204">
        <f t="shared" si="41"/>
        <v>45579375</v>
      </c>
      <c r="AR29" s="204">
        <f t="shared" si="41"/>
        <v>45579375</v>
      </c>
      <c r="AS29" s="204">
        <f t="shared" si="41"/>
        <v>45579375</v>
      </c>
      <c r="AT29" s="204">
        <f t="shared" si="41"/>
        <v>45579375</v>
      </c>
      <c r="AU29" s="204">
        <f t="shared" si="41"/>
        <v>45579375</v>
      </c>
      <c r="AV29" s="204">
        <f t="shared" si="41"/>
        <v>45579375</v>
      </c>
      <c r="AW29" s="204">
        <f t="shared" si="41"/>
        <v>45579375</v>
      </c>
      <c r="AX29" s="204">
        <f t="shared" si="41"/>
        <v>45579375</v>
      </c>
      <c r="AY29" s="204">
        <f t="shared" si="41"/>
        <v>45579375</v>
      </c>
      <c r="AZ29" s="204">
        <f t="shared" si="41"/>
        <v>45579375</v>
      </c>
      <c r="BA29" s="204">
        <f t="shared" si="41"/>
        <v>45579375</v>
      </c>
      <c r="BB29" s="204">
        <f t="shared" si="41"/>
        <v>45579375</v>
      </c>
      <c r="BC29" s="204">
        <f t="shared" si="41"/>
        <v>45579375</v>
      </c>
      <c r="BD29" s="204">
        <f t="shared" si="41"/>
        <v>45579375</v>
      </c>
      <c r="BE29" s="204">
        <f t="shared" si="41"/>
        <v>45579375</v>
      </c>
      <c r="BF29" s="204">
        <f t="shared" si="41"/>
        <v>45579375</v>
      </c>
      <c r="BG29" s="204">
        <f t="shared" si="41"/>
        <v>45579375</v>
      </c>
      <c r="BH29" s="204">
        <f t="shared" si="41"/>
        <v>45579375</v>
      </c>
      <c r="BI29" s="204">
        <f t="shared" si="41"/>
        <v>45579375</v>
      </c>
      <c r="BJ29" s="204">
        <f t="shared" si="41"/>
        <v>45579375</v>
      </c>
      <c r="BK29" s="204">
        <f t="shared" si="41"/>
        <v>45579375</v>
      </c>
      <c r="BL29" s="204">
        <f t="shared" si="41"/>
        <v>45579375</v>
      </c>
      <c r="BM29" s="204">
        <f t="shared" si="41"/>
        <v>45579375</v>
      </c>
      <c r="BN29" s="204">
        <f t="shared" si="41"/>
        <v>45579375</v>
      </c>
    </row>
    <row r="30" spans="1:66" s="201" customFormat="1" ht="13" x14ac:dyDescent="0.15">
      <c r="B30" s="179" t="s">
        <v>4</v>
      </c>
      <c r="C30" s="199"/>
      <c r="D30" s="199"/>
      <c r="E30" s="203"/>
      <c r="G30" s="205">
        <f t="shared" ref="G30:AT30" si="42">(1+$C$15)^(G25-1)</f>
        <v>1</v>
      </c>
      <c r="H30" s="205">
        <f t="shared" si="42"/>
        <v>1.03</v>
      </c>
      <c r="I30" s="205">
        <f t="shared" si="42"/>
        <v>1.0609</v>
      </c>
      <c r="J30" s="205">
        <f t="shared" si="42"/>
        <v>1.092727</v>
      </c>
      <c r="K30" s="205">
        <f t="shared" si="42"/>
        <v>1.1255088099999999</v>
      </c>
      <c r="L30" s="205">
        <f t="shared" si="42"/>
        <v>1.1592740742999998</v>
      </c>
      <c r="M30" s="205">
        <f t="shared" si="42"/>
        <v>1.1940522965289999</v>
      </c>
      <c r="N30" s="205">
        <f t="shared" si="42"/>
        <v>1.22987386542487</v>
      </c>
      <c r="O30" s="205">
        <f t="shared" si="42"/>
        <v>1.2667700813876159</v>
      </c>
      <c r="P30" s="205">
        <f t="shared" si="42"/>
        <v>1.3047731838292445</v>
      </c>
      <c r="Q30" s="205">
        <f t="shared" si="42"/>
        <v>1.3439163793441218</v>
      </c>
      <c r="R30" s="205">
        <f t="shared" si="42"/>
        <v>1.3842338707244455</v>
      </c>
      <c r="S30" s="205">
        <f t="shared" si="42"/>
        <v>1.4257608868461786</v>
      </c>
      <c r="T30" s="205">
        <f t="shared" si="42"/>
        <v>1.4685337134515639</v>
      </c>
      <c r="U30" s="205">
        <f t="shared" si="42"/>
        <v>1.512589724855111</v>
      </c>
      <c r="V30" s="205">
        <f t="shared" si="42"/>
        <v>1.5579674166007644</v>
      </c>
      <c r="W30" s="205">
        <f t="shared" si="42"/>
        <v>1.6047064390987871</v>
      </c>
      <c r="X30" s="205">
        <f t="shared" si="42"/>
        <v>1.6528476322717507</v>
      </c>
      <c r="Y30" s="205">
        <f t="shared" si="42"/>
        <v>1.7024330612399032</v>
      </c>
      <c r="Z30" s="205">
        <f t="shared" si="42"/>
        <v>1.7535060530771003</v>
      </c>
      <c r="AA30" s="205">
        <f t="shared" si="42"/>
        <v>1.8061112346694133</v>
      </c>
      <c r="AB30" s="205">
        <f t="shared" si="42"/>
        <v>1.8602945717094954</v>
      </c>
      <c r="AC30" s="205">
        <f t="shared" si="42"/>
        <v>1.9161034088607805</v>
      </c>
      <c r="AD30" s="205">
        <f t="shared" si="42"/>
        <v>1.973586511126604</v>
      </c>
      <c r="AE30" s="205">
        <f t="shared" si="42"/>
        <v>2.0327941064604018</v>
      </c>
      <c r="AF30" s="205">
        <f t="shared" si="42"/>
        <v>2.0937779296542138</v>
      </c>
      <c r="AG30" s="205">
        <f t="shared" si="42"/>
        <v>2.1565912675438406</v>
      </c>
      <c r="AH30" s="205">
        <f t="shared" si="42"/>
        <v>2.2212890055701555</v>
      </c>
      <c r="AI30" s="205">
        <f t="shared" si="42"/>
        <v>2.2879276757372602</v>
      </c>
      <c r="AJ30" s="205">
        <f t="shared" si="42"/>
        <v>2.3565655060093778</v>
      </c>
      <c r="AK30" s="205">
        <f t="shared" si="42"/>
        <v>2.4272624711896591</v>
      </c>
      <c r="AL30" s="205">
        <f t="shared" si="42"/>
        <v>2.5000803453253493</v>
      </c>
      <c r="AM30" s="205">
        <f t="shared" si="42"/>
        <v>2.5750827556851092</v>
      </c>
      <c r="AN30" s="205">
        <f t="shared" si="42"/>
        <v>2.6523352383556626</v>
      </c>
      <c r="AO30" s="205">
        <f t="shared" si="42"/>
        <v>2.7319052955063321</v>
      </c>
      <c r="AP30" s="205">
        <f t="shared" si="42"/>
        <v>2.8138624543715225</v>
      </c>
      <c r="AQ30" s="205">
        <f t="shared" si="42"/>
        <v>2.898278328002668</v>
      </c>
      <c r="AR30" s="205">
        <f t="shared" si="42"/>
        <v>2.9852266778427476</v>
      </c>
      <c r="AS30" s="205">
        <f t="shared" si="42"/>
        <v>3.0747834781780301</v>
      </c>
      <c r="AT30" s="205">
        <f t="shared" si="42"/>
        <v>3.1670269825233714</v>
      </c>
      <c r="AU30" s="205">
        <f t="shared" ref="AU30:BN30" si="43">(1+$C$15)^(AU25-1)</f>
        <v>3.262037791999072</v>
      </c>
      <c r="AV30" s="205">
        <f t="shared" si="43"/>
        <v>3.3598989257590444</v>
      </c>
      <c r="AW30" s="205">
        <f t="shared" si="43"/>
        <v>3.4606958935318159</v>
      </c>
      <c r="AX30" s="205">
        <f t="shared" si="43"/>
        <v>3.5645167703377703</v>
      </c>
      <c r="AY30" s="205">
        <f t="shared" si="43"/>
        <v>3.6714522734479029</v>
      </c>
      <c r="AZ30" s="205">
        <f t="shared" si="43"/>
        <v>3.78159584165134</v>
      </c>
      <c r="BA30" s="205">
        <f t="shared" si="43"/>
        <v>3.8950437169008802</v>
      </c>
      <c r="BB30" s="205">
        <f t="shared" si="43"/>
        <v>4.0118950284079071</v>
      </c>
      <c r="BC30" s="205">
        <f t="shared" si="43"/>
        <v>4.1322518792601439</v>
      </c>
      <c r="BD30" s="205">
        <f t="shared" si="43"/>
        <v>4.2562194356379477</v>
      </c>
      <c r="BE30" s="205">
        <f t="shared" si="43"/>
        <v>4.3839060187070862</v>
      </c>
      <c r="BF30" s="205">
        <f t="shared" si="43"/>
        <v>4.5154231992682989</v>
      </c>
      <c r="BG30" s="205">
        <f t="shared" si="43"/>
        <v>4.6508858952463479</v>
      </c>
      <c r="BH30" s="205">
        <f t="shared" si="43"/>
        <v>4.7904124721037373</v>
      </c>
      <c r="BI30" s="205">
        <f t="shared" si="43"/>
        <v>4.9341248462668501</v>
      </c>
      <c r="BJ30" s="205">
        <f t="shared" si="43"/>
        <v>5.0821485916548559</v>
      </c>
      <c r="BK30" s="205">
        <f t="shared" si="43"/>
        <v>5.2346130494045005</v>
      </c>
      <c r="BL30" s="205">
        <f t="shared" si="43"/>
        <v>5.3916514408866361</v>
      </c>
      <c r="BM30" s="205">
        <f t="shared" si="43"/>
        <v>5.5534009841132352</v>
      </c>
      <c r="BN30" s="205">
        <f t="shared" si="43"/>
        <v>5.7200030136366324</v>
      </c>
    </row>
    <row r="31" spans="1:66" s="201" customFormat="1" ht="13" x14ac:dyDescent="0.15">
      <c r="B31" s="179" t="s">
        <v>43</v>
      </c>
      <c r="C31" s="199"/>
      <c r="D31" s="199"/>
      <c r="E31" s="203"/>
      <c r="F31" s="206">
        <f>($C$18/1000)*F30</f>
        <v>0</v>
      </c>
      <c r="G31" s="206">
        <f>($C$18/1000)*G30</f>
        <v>0.2</v>
      </c>
      <c r="H31" s="206">
        <f t="shared" ref="H31:BN31" si="44">($C$18/1000)*H30</f>
        <v>0.20600000000000002</v>
      </c>
      <c r="I31" s="206">
        <f t="shared" si="44"/>
        <v>0.21218000000000001</v>
      </c>
      <c r="J31" s="206">
        <f t="shared" si="44"/>
        <v>0.2185454</v>
      </c>
      <c r="K31" s="206">
        <f t="shared" si="44"/>
        <v>0.22510176199999998</v>
      </c>
      <c r="L31" s="206">
        <f t="shared" si="44"/>
        <v>0.23185481485999998</v>
      </c>
      <c r="M31" s="206">
        <f t="shared" si="44"/>
        <v>0.2388104593058</v>
      </c>
      <c r="N31" s="206">
        <f t="shared" si="44"/>
        <v>0.24597477308497401</v>
      </c>
      <c r="O31" s="206">
        <f t="shared" si="44"/>
        <v>0.25335401627752319</v>
      </c>
      <c r="P31" s="206">
        <f t="shared" si="44"/>
        <v>0.2609546367658489</v>
      </c>
      <c r="Q31" s="206">
        <f t="shared" si="44"/>
        <v>0.26878327586882439</v>
      </c>
      <c r="R31" s="206">
        <f t="shared" si="44"/>
        <v>0.27684677414488912</v>
      </c>
      <c r="S31" s="206">
        <f t="shared" si="44"/>
        <v>0.28515217736923576</v>
      </c>
      <c r="T31" s="206">
        <f t="shared" si="44"/>
        <v>0.29370674269031277</v>
      </c>
      <c r="U31" s="206">
        <f t="shared" si="44"/>
        <v>0.30251794497102225</v>
      </c>
      <c r="V31" s="206">
        <f t="shared" si="44"/>
        <v>0.31159348332015291</v>
      </c>
      <c r="W31" s="206">
        <f t="shared" si="44"/>
        <v>0.32094128781975745</v>
      </c>
      <c r="X31" s="206">
        <f t="shared" si="44"/>
        <v>0.33056952645435017</v>
      </c>
      <c r="Y31" s="206">
        <f t="shared" si="44"/>
        <v>0.34048661224798066</v>
      </c>
      <c r="Z31" s="206">
        <f t="shared" si="44"/>
        <v>0.35070121061542009</v>
      </c>
      <c r="AA31" s="206">
        <f t="shared" si="44"/>
        <v>0.36122224693388266</v>
      </c>
      <c r="AB31" s="206">
        <f t="shared" si="44"/>
        <v>0.37205891434189908</v>
      </c>
      <c r="AC31" s="206">
        <f t="shared" si="44"/>
        <v>0.38322068177215612</v>
      </c>
      <c r="AD31" s="206">
        <f t="shared" si="44"/>
        <v>0.39471730222532081</v>
      </c>
      <c r="AE31" s="206">
        <f t="shared" si="44"/>
        <v>0.40655882129208037</v>
      </c>
      <c r="AF31" s="206">
        <f t="shared" si="44"/>
        <v>0.41875558593084278</v>
      </c>
      <c r="AG31" s="206">
        <f t="shared" si="44"/>
        <v>0.43131825350876812</v>
      </c>
      <c r="AH31" s="206">
        <f t="shared" si="44"/>
        <v>0.44425780111403113</v>
      </c>
      <c r="AI31" s="206">
        <f t="shared" si="44"/>
        <v>0.45758553514745204</v>
      </c>
      <c r="AJ31" s="206">
        <f t="shared" si="44"/>
        <v>0.47131310120187558</v>
      </c>
      <c r="AK31" s="206">
        <f t="shared" si="44"/>
        <v>0.48545249423793185</v>
      </c>
      <c r="AL31" s="206">
        <f t="shared" si="44"/>
        <v>0.5000160690650699</v>
      </c>
      <c r="AM31" s="206">
        <f t="shared" si="44"/>
        <v>0.51501655113702183</v>
      </c>
      <c r="AN31" s="206">
        <f t="shared" si="44"/>
        <v>0.53046704767113251</v>
      </c>
      <c r="AO31" s="206">
        <f t="shared" si="44"/>
        <v>0.54638105910126644</v>
      </c>
      <c r="AP31" s="206">
        <f t="shared" si="44"/>
        <v>0.56277249087430448</v>
      </c>
      <c r="AQ31" s="206">
        <f t="shared" si="44"/>
        <v>0.57965566560053361</v>
      </c>
      <c r="AR31" s="206">
        <f t="shared" si="44"/>
        <v>0.59704533556854955</v>
      </c>
      <c r="AS31" s="206">
        <f t="shared" si="44"/>
        <v>0.61495669563560607</v>
      </c>
      <c r="AT31" s="206">
        <f t="shared" si="44"/>
        <v>0.63340539650467431</v>
      </c>
      <c r="AU31" s="206">
        <f t="shared" si="44"/>
        <v>0.65240755839981446</v>
      </c>
      <c r="AV31" s="206">
        <f t="shared" si="44"/>
        <v>0.67197978515180889</v>
      </c>
      <c r="AW31" s="206">
        <f t="shared" si="44"/>
        <v>0.69213917870636321</v>
      </c>
      <c r="AX31" s="206">
        <f t="shared" si="44"/>
        <v>0.71290335406755412</v>
      </c>
      <c r="AY31" s="206">
        <f t="shared" si="44"/>
        <v>0.73429045468958065</v>
      </c>
      <c r="AZ31" s="206">
        <f t="shared" si="44"/>
        <v>0.75631916833026802</v>
      </c>
      <c r="BA31" s="206">
        <f t="shared" si="44"/>
        <v>0.77900874338017612</v>
      </c>
      <c r="BB31" s="206">
        <f t="shared" si="44"/>
        <v>0.80237900568158149</v>
      </c>
      <c r="BC31" s="206">
        <f t="shared" si="44"/>
        <v>0.82645037585202885</v>
      </c>
      <c r="BD31" s="206">
        <f t="shared" si="44"/>
        <v>0.85124388712758958</v>
      </c>
      <c r="BE31" s="206">
        <f t="shared" si="44"/>
        <v>0.87678120374141733</v>
      </c>
      <c r="BF31" s="206">
        <f t="shared" si="44"/>
        <v>0.90308463985365983</v>
      </c>
      <c r="BG31" s="206">
        <f t="shared" si="44"/>
        <v>0.93017717904926966</v>
      </c>
      <c r="BH31" s="206">
        <f t="shared" si="44"/>
        <v>0.95808249442074755</v>
      </c>
      <c r="BI31" s="206">
        <f t="shared" si="44"/>
        <v>0.98682496925337004</v>
      </c>
      <c r="BJ31" s="206">
        <f t="shared" si="44"/>
        <v>1.0164297183309712</v>
      </c>
      <c r="BK31" s="206">
        <f t="shared" si="44"/>
        <v>1.0469226098809001</v>
      </c>
      <c r="BL31" s="206">
        <f t="shared" si="44"/>
        <v>1.0783302881773273</v>
      </c>
      <c r="BM31" s="206">
        <f t="shared" si="44"/>
        <v>1.1106801968226472</v>
      </c>
      <c r="BN31" s="206">
        <f t="shared" si="44"/>
        <v>1.1440006027273266</v>
      </c>
    </row>
    <row r="32" spans="1:66" s="201" customFormat="1" ht="13" x14ac:dyDescent="0.15">
      <c r="B32" s="179"/>
      <c r="C32" s="199"/>
      <c r="D32" s="199"/>
      <c r="E32" s="203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</row>
    <row r="33" spans="1:66" s="201" customFormat="1" ht="13" x14ac:dyDescent="0.15">
      <c r="A33" s="207"/>
      <c r="B33" s="176" t="s">
        <v>53</v>
      </c>
      <c r="C33" s="208"/>
      <c r="D33" s="208"/>
      <c r="E33" s="209">
        <f>NPV($C$13,G33:BN33)+F33</f>
        <v>195491801.38513619</v>
      </c>
      <c r="F33" s="210">
        <f t="shared" ref="F33:AT33" si="45">F28*F31</f>
        <v>0</v>
      </c>
      <c r="G33" s="210">
        <f t="shared" si="45"/>
        <v>7292700</v>
      </c>
      <c r="H33" s="210">
        <f t="shared" si="45"/>
        <v>7503969.5190000003</v>
      </c>
      <c r="I33" s="210">
        <f t="shared" si="45"/>
        <v>7721359.5159654301</v>
      </c>
      <c r="J33" s="210">
        <f t="shared" si="45"/>
        <v>7945047.3011429487</v>
      </c>
      <c r="K33" s="210">
        <f t="shared" si="45"/>
        <v>8175215.3214570591</v>
      </c>
      <c r="L33" s="210">
        <f t="shared" si="45"/>
        <v>8412051.3093196694</v>
      </c>
      <c r="M33" s="210">
        <f t="shared" si="45"/>
        <v>8655748.4357506596</v>
      </c>
      <c r="N33" s="210">
        <f t="shared" si="45"/>
        <v>8906505.467934357</v>
      </c>
      <c r="O33" s="210">
        <f t="shared" si="45"/>
        <v>9164526.9313404132</v>
      </c>
      <c r="P33" s="210">
        <f t="shared" si="45"/>
        <v>9430023.2765413448</v>
      </c>
      <c r="Q33" s="210">
        <f t="shared" si="45"/>
        <v>9703211.0508627482</v>
      </c>
      <c r="R33" s="210">
        <f t="shared" si="45"/>
        <v>9984313.0750062428</v>
      </c>
      <c r="S33" s="210">
        <f t="shared" si="45"/>
        <v>10273558.624789171</v>
      </c>
      <c r="T33" s="210">
        <f t="shared" si="45"/>
        <v>10571183.618149312</v>
      </c>
      <c r="U33" s="210">
        <f t="shared" si="45"/>
        <v>10877430.807567099</v>
      </c>
      <c r="V33" s="210">
        <f t="shared" si="45"/>
        <v>11192549.978062319</v>
      </c>
      <c r="W33" s="210">
        <f t="shared" si="45"/>
        <v>11516798.150926782</v>
      </c>
      <c r="X33" s="210">
        <f t="shared" si="45"/>
        <v>11850439.793359131</v>
      </c>
      <c r="Y33" s="210">
        <f t="shared" si="45"/>
        <v>12193747.034172745</v>
      </c>
      <c r="Z33" s="210">
        <f t="shared" si="45"/>
        <v>12546999.88575273</v>
      </c>
      <c r="AA33" s="210">
        <f t="shared" si="45"/>
        <v>12910486.472442985</v>
      </c>
      <c r="AB33" s="210">
        <f t="shared" si="45"/>
        <v>13284503.265549656</v>
      </c>
      <c r="AC33" s="210">
        <f t="shared" si="45"/>
        <v>13669355.325152634</v>
      </c>
      <c r="AD33" s="210">
        <f t="shared" si="45"/>
        <v>14065356.548922304</v>
      </c>
      <c r="AE33" s="210">
        <f t="shared" si="45"/>
        <v>14472829.92814458</v>
      </c>
      <c r="AF33" s="210">
        <f t="shared" si="45"/>
        <v>14892107.811162928</v>
      </c>
      <c r="AG33" s="210">
        <f t="shared" si="45"/>
        <v>15323532.17445232</v>
      </c>
      <c r="AH33" s="210">
        <f t="shared" si="45"/>
        <v>15767454.901546201</v>
      </c>
      <c r="AI33" s="210">
        <f t="shared" si="45"/>
        <v>16224238.070043994</v>
      </c>
      <c r="AJ33" s="210">
        <f t="shared" si="45"/>
        <v>16694254.246933168</v>
      </c>
      <c r="AK33" s="210">
        <f t="shared" si="45"/>
        <v>17177886.792466819</v>
      </c>
      <c r="AL33" s="210">
        <f t="shared" si="45"/>
        <v>17675530.172844589</v>
      </c>
      <c r="AM33" s="210">
        <f t="shared" si="45"/>
        <v>18187590.281951889</v>
      </c>
      <c r="AN33" s="210">
        <f t="shared" si="45"/>
        <v>18714484.772420038</v>
      </c>
      <c r="AO33" s="210">
        <f t="shared" si="45"/>
        <v>19256643.396277044</v>
      </c>
      <c r="AP33" s="210">
        <f t="shared" si="45"/>
        <v>19814508.355467193</v>
      </c>
      <c r="AQ33" s="210">
        <f t="shared" si="45"/>
        <v>20388534.662525076</v>
      </c>
      <c r="AR33" s="210">
        <f t="shared" si="45"/>
        <v>20979190.511698429</v>
      </c>
      <c r="AS33" s="210">
        <f t="shared" si="45"/>
        <v>21586957.660822332</v>
      </c>
      <c r="AT33" s="210">
        <f t="shared" si="45"/>
        <v>22212331.824256357</v>
      </c>
      <c r="AU33" s="210">
        <f t="shared" ref="AU33:BN33" si="46">AU28*AU31</f>
        <v>22855823.077205062</v>
      </c>
      <c r="AV33" s="210">
        <f t="shared" si="46"/>
        <v>23517956.271751694</v>
      </c>
      <c r="AW33" s="210">
        <f t="shared" si="46"/>
        <v>24199271.46494434</v>
      </c>
      <c r="AX33" s="210">
        <f t="shared" si="46"/>
        <v>24900324.359283779</v>
      </c>
      <c r="AY33" s="210">
        <f t="shared" si="46"/>
        <v>25621686.755972229</v>
      </c>
      <c r="AZ33" s="210">
        <f t="shared" si="46"/>
        <v>26363947.021292746</v>
      </c>
      <c r="BA33" s="210">
        <f t="shared" si="46"/>
        <v>27127710.566499598</v>
      </c>
      <c r="BB33" s="210">
        <f t="shared" si="46"/>
        <v>27913600.341611095</v>
      </c>
      <c r="BC33" s="210">
        <f t="shared" si="46"/>
        <v>28722257.343507566</v>
      </c>
      <c r="BD33" s="210">
        <f t="shared" si="46"/>
        <v>29554341.138748981</v>
      </c>
      <c r="BE33" s="210">
        <f t="shared" si="46"/>
        <v>30410530.40153854</v>
      </c>
      <c r="BF33" s="210">
        <f t="shared" si="46"/>
        <v>31291523.467271108</v>
      </c>
      <c r="BG33" s="210">
        <f t="shared" si="46"/>
        <v>32198038.902117949</v>
      </c>
      <c r="BH33" s="210">
        <f t="shared" si="46"/>
        <v>33130816.089112297</v>
      </c>
      <c r="BI33" s="210">
        <f t="shared" si="46"/>
        <v>34090615.831213884</v>
      </c>
      <c r="BJ33" s="210">
        <f t="shared" si="46"/>
        <v>35078220.971844152</v>
      </c>
      <c r="BK33" s="210">
        <f t="shared" si="46"/>
        <v>36094437.033398472</v>
      </c>
      <c r="BL33" s="210">
        <f t="shared" si="46"/>
        <v>37140092.87425603</v>
      </c>
      <c r="BM33" s="210">
        <f t="shared" si="46"/>
        <v>38216041.364823222</v>
      </c>
      <c r="BN33" s="210">
        <f t="shared" si="46"/>
        <v>39323160.083162151</v>
      </c>
    </row>
    <row r="34" spans="1:66" s="201" customFormat="1" ht="13" x14ac:dyDescent="0.15">
      <c r="B34" s="179"/>
      <c r="C34" s="199"/>
      <c r="D34" s="199"/>
      <c r="E34" s="203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</row>
    <row r="35" spans="1:66" s="201" customFormat="1" ht="13" x14ac:dyDescent="0.15">
      <c r="A35" s="197" t="s">
        <v>51</v>
      </c>
      <c r="B35" s="212"/>
      <c r="C35" s="199"/>
      <c r="D35" s="199"/>
      <c r="E35" s="213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5"/>
      <c r="BA35" s="205"/>
      <c r="BB35" s="205"/>
      <c r="BC35" s="205"/>
      <c r="BD35" s="205"/>
      <c r="BE35" s="205"/>
      <c r="BF35" s="205"/>
      <c r="BG35" s="205"/>
      <c r="BH35" s="205"/>
      <c r="BI35" s="205"/>
      <c r="BJ35" s="205"/>
      <c r="BK35" s="205"/>
      <c r="BL35" s="205"/>
      <c r="BM35" s="205"/>
      <c r="BN35" s="205"/>
    </row>
    <row r="36" spans="1:66" s="201" customFormat="1" ht="13" x14ac:dyDescent="0.15">
      <c r="B36" s="188" t="s">
        <v>22</v>
      </c>
      <c r="C36" s="199"/>
      <c r="D36" s="214">
        <f>(C6*1000)*C14*C11</f>
        <v>51000000</v>
      </c>
      <c r="E36" s="213">
        <f>NPV($C$13,G36:BN36)+F36</f>
        <v>51000000</v>
      </c>
      <c r="F36" s="201">
        <f>IF(F$25=0,$D36,)</f>
        <v>51000000</v>
      </c>
      <c r="G36" s="201">
        <f>IF(G$25=0,$D36,)</f>
        <v>0</v>
      </c>
      <c r="H36" s="201">
        <f t="shared" ref="H36:BN36" si="47">IF(H$25=0,$D36,)</f>
        <v>0</v>
      </c>
      <c r="I36" s="201">
        <f t="shared" ref="I36:P36" si="48">IF(I$25=0,$D36,)</f>
        <v>0</v>
      </c>
      <c r="J36" s="201">
        <f t="shared" si="48"/>
        <v>0</v>
      </c>
      <c r="K36" s="201">
        <f t="shared" si="48"/>
        <v>0</v>
      </c>
      <c r="L36" s="201">
        <f t="shared" si="48"/>
        <v>0</v>
      </c>
      <c r="M36" s="201">
        <f t="shared" si="48"/>
        <v>0</v>
      </c>
      <c r="N36" s="201">
        <f t="shared" si="48"/>
        <v>0</v>
      </c>
      <c r="O36" s="201">
        <f t="shared" si="48"/>
        <v>0</v>
      </c>
      <c r="P36" s="201">
        <f t="shared" si="48"/>
        <v>0</v>
      </c>
      <c r="Q36" s="201">
        <f t="shared" si="47"/>
        <v>0</v>
      </c>
      <c r="R36" s="201">
        <f t="shared" si="47"/>
        <v>0</v>
      </c>
      <c r="S36" s="201">
        <f t="shared" si="47"/>
        <v>0</v>
      </c>
      <c r="T36" s="201">
        <f t="shared" si="47"/>
        <v>0</v>
      </c>
      <c r="U36" s="201">
        <f t="shared" si="47"/>
        <v>0</v>
      </c>
      <c r="V36" s="201">
        <f t="shared" si="47"/>
        <v>0</v>
      </c>
      <c r="W36" s="201">
        <f t="shared" si="47"/>
        <v>0</v>
      </c>
      <c r="X36" s="201">
        <f t="shared" si="47"/>
        <v>0</v>
      </c>
      <c r="Y36" s="201">
        <f t="shared" si="47"/>
        <v>0</v>
      </c>
      <c r="Z36" s="201">
        <f t="shared" si="47"/>
        <v>0</v>
      </c>
      <c r="AA36" s="201">
        <f t="shared" si="47"/>
        <v>0</v>
      </c>
      <c r="AB36" s="201">
        <f t="shared" si="47"/>
        <v>0</v>
      </c>
      <c r="AC36" s="201">
        <f t="shared" si="47"/>
        <v>0</v>
      </c>
      <c r="AD36" s="201">
        <f t="shared" si="47"/>
        <v>0</v>
      </c>
      <c r="AE36" s="201">
        <f t="shared" si="47"/>
        <v>0</v>
      </c>
      <c r="AF36" s="201">
        <f t="shared" si="47"/>
        <v>0</v>
      </c>
      <c r="AG36" s="201">
        <f t="shared" si="47"/>
        <v>0</v>
      </c>
      <c r="AH36" s="201">
        <f t="shared" si="47"/>
        <v>0</v>
      </c>
      <c r="AI36" s="201">
        <f t="shared" si="47"/>
        <v>0</v>
      </c>
      <c r="AJ36" s="201">
        <f t="shared" si="47"/>
        <v>0</v>
      </c>
      <c r="AK36" s="201">
        <f t="shared" si="47"/>
        <v>0</v>
      </c>
      <c r="AL36" s="201">
        <f t="shared" si="47"/>
        <v>0</v>
      </c>
      <c r="AM36" s="201">
        <f t="shared" si="47"/>
        <v>0</v>
      </c>
      <c r="AN36" s="201">
        <f t="shared" si="47"/>
        <v>0</v>
      </c>
      <c r="AO36" s="201">
        <f t="shared" si="47"/>
        <v>0</v>
      </c>
      <c r="AP36" s="201">
        <f t="shared" si="47"/>
        <v>0</v>
      </c>
      <c r="AQ36" s="201">
        <f t="shared" si="47"/>
        <v>0</v>
      </c>
      <c r="AR36" s="201">
        <f t="shared" si="47"/>
        <v>0</v>
      </c>
      <c r="AS36" s="201">
        <f t="shared" si="47"/>
        <v>0</v>
      </c>
      <c r="AT36" s="201">
        <f t="shared" si="47"/>
        <v>0</v>
      </c>
      <c r="AU36" s="201">
        <f t="shared" si="47"/>
        <v>0</v>
      </c>
      <c r="AV36" s="201">
        <f t="shared" si="47"/>
        <v>0</v>
      </c>
      <c r="AW36" s="201">
        <f t="shared" si="47"/>
        <v>0</v>
      </c>
      <c r="AX36" s="201">
        <f t="shared" si="47"/>
        <v>0</v>
      </c>
      <c r="AY36" s="201">
        <f t="shared" si="47"/>
        <v>0</v>
      </c>
      <c r="AZ36" s="201">
        <f t="shared" si="47"/>
        <v>0</v>
      </c>
      <c r="BA36" s="201">
        <f t="shared" si="47"/>
        <v>0</v>
      </c>
      <c r="BB36" s="201">
        <f t="shared" si="47"/>
        <v>0</v>
      </c>
      <c r="BC36" s="201">
        <f t="shared" si="47"/>
        <v>0</v>
      </c>
      <c r="BD36" s="201">
        <f t="shared" si="47"/>
        <v>0</v>
      </c>
      <c r="BE36" s="201">
        <f t="shared" si="47"/>
        <v>0</v>
      </c>
      <c r="BF36" s="201">
        <f t="shared" si="47"/>
        <v>0</v>
      </c>
      <c r="BG36" s="201">
        <f t="shared" si="47"/>
        <v>0</v>
      </c>
      <c r="BH36" s="201">
        <f t="shared" si="47"/>
        <v>0</v>
      </c>
      <c r="BI36" s="201">
        <f t="shared" si="47"/>
        <v>0</v>
      </c>
      <c r="BJ36" s="201">
        <f t="shared" si="47"/>
        <v>0</v>
      </c>
      <c r="BK36" s="201">
        <f t="shared" si="47"/>
        <v>0</v>
      </c>
      <c r="BL36" s="201">
        <f t="shared" si="47"/>
        <v>0</v>
      </c>
      <c r="BM36" s="201">
        <f t="shared" si="47"/>
        <v>0</v>
      </c>
      <c r="BN36" s="201">
        <f t="shared" si="47"/>
        <v>0</v>
      </c>
    </row>
    <row r="37" spans="1:66" s="201" customFormat="1" ht="13" x14ac:dyDescent="0.15">
      <c r="B37" s="188" t="s">
        <v>18</v>
      </c>
      <c r="C37" s="199"/>
      <c r="D37" s="214">
        <f>(C6*1000)*C14*C12</f>
        <v>340000</v>
      </c>
      <c r="E37" s="213">
        <f>NPV($C$13,G37:BN37)+F37</f>
        <v>9309199.4785956088</v>
      </c>
      <c r="F37" s="201">
        <f t="shared" ref="F37:AT37" si="49">IF(F$25&lt;&gt;0,$D37,)*F30</f>
        <v>0</v>
      </c>
      <c r="G37" s="215">
        <f t="shared" si="49"/>
        <v>340000</v>
      </c>
      <c r="H37" s="215">
        <f t="shared" si="49"/>
        <v>350200</v>
      </c>
      <c r="I37" s="201">
        <f t="shared" si="49"/>
        <v>360706</v>
      </c>
      <c r="J37" s="201">
        <f t="shared" ref="J37:P37" si="50">IF(J$25&lt;&gt;0,$D37,)*J30</f>
        <v>371527.18</v>
      </c>
      <c r="K37" s="201">
        <f t="shared" si="50"/>
        <v>382672.99539999996</v>
      </c>
      <c r="L37" s="201">
        <f t="shared" si="50"/>
        <v>394153.18526199996</v>
      </c>
      <c r="M37" s="201">
        <f t="shared" si="50"/>
        <v>405977.78081986</v>
      </c>
      <c r="N37" s="201">
        <f t="shared" si="50"/>
        <v>418157.11424445582</v>
      </c>
      <c r="O37" s="201">
        <f t="shared" si="50"/>
        <v>430701.82767178939</v>
      </c>
      <c r="P37" s="201">
        <f t="shared" si="50"/>
        <v>443622.8825019431</v>
      </c>
      <c r="Q37" s="201">
        <f t="shared" si="49"/>
        <v>456931.56897700141</v>
      </c>
      <c r="R37" s="201">
        <f t="shared" si="49"/>
        <v>470639.51604631147</v>
      </c>
      <c r="S37" s="201">
        <f t="shared" si="49"/>
        <v>484758.70152770076</v>
      </c>
      <c r="T37" s="201">
        <f t="shared" si="49"/>
        <v>499301.46257353172</v>
      </c>
      <c r="U37" s="201">
        <f t="shared" si="49"/>
        <v>514280.50645073777</v>
      </c>
      <c r="V37" s="201">
        <f t="shared" si="49"/>
        <v>529708.92164425994</v>
      </c>
      <c r="W37" s="201">
        <f t="shared" si="49"/>
        <v>545600.18929358758</v>
      </c>
      <c r="X37" s="201">
        <f t="shared" si="49"/>
        <v>561968.1949723952</v>
      </c>
      <c r="Y37" s="201">
        <f t="shared" si="49"/>
        <v>578827.24082156713</v>
      </c>
      <c r="Z37" s="201">
        <f t="shared" si="49"/>
        <v>596192.05804621405</v>
      </c>
      <c r="AA37" s="201">
        <f t="shared" si="49"/>
        <v>614077.81978760054</v>
      </c>
      <c r="AB37" s="201">
        <f t="shared" si="49"/>
        <v>632500.15438122849</v>
      </c>
      <c r="AC37" s="201">
        <f t="shared" si="49"/>
        <v>651475.15901266539</v>
      </c>
      <c r="AD37" s="201">
        <f t="shared" si="49"/>
        <v>671019.41378304537</v>
      </c>
      <c r="AE37" s="201">
        <f t="shared" si="49"/>
        <v>691149.99619653658</v>
      </c>
      <c r="AF37" s="201">
        <f t="shared" si="49"/>
        <v>711884.49608243268</v>
      </c>
      <c r="AG37" s="201">
        <f t="shared" si="49"/>
        <v>733241.03096490575</v>
      </c>
      <c r="AH37" s="201">
        <f t="shared" si="49"/>
        <v>755238.26189385285</v>
      </c>
      <c r="AI37" s="201">
        <f t="shared" si="49"/>
        <v>777895.40975066845</v>
      </c>
      <c r="AJ37" s="201">
        <f t="shared" si="49"/>
        <v>801232.27204318845</v>
      </c>
      <c r="AK37" s="201">
        <f t="shared" si="49"/>
        <v>825269.24020448409</v>
      </c>
      <c r="AL37" s="201">
        <f t="shared" si="49"/>
        <v>850027.31741061877</v>
      </c>
      <c r="AM37" s="201">
        <f t="shared" si="49"/>
        <v>875528.1369329372</v>
      </c>
      <c r="AN37" s="201">
        <f t="shared" si="49"/>
        <v>901793.98104092525</v>
      </c>
      <c r="AO37" s="201">
        <f t="shared" si="49"/>
        <v>928847.80047215289</v>
      </c>
      <c r="AP37" s="201">
        <f t="shared" si="49"/>
        <v>956713.23448631761</v>
      </c>
      <c r="AQ37" s="201">
        <f t="shared" si="49"/>
        <v>985414.63152090716</v>
      </c>
      <c r="AR37" s="201">
        <f t="shared" si="49"/>
        <v>1014977.0704665342</v>
      </c>
      <c r="AS37" s="201">
        <f t="shared" si="49"/>
        <v>1045426.3825805302</v>
      </c>
      <c r="AT37" s="201">
        <f t="shared" si="49"/>
        <v>1076789.1740579463</v>
      </c>
      <c r="AU37" s="201">
        <f t="shared" ref="AU37:BN37" si="51">IF(AU$25&lt;&gt;0,$D37,)*AU30</f>
        <v>1109092.8492796845</v>
      </c>
      <c r="AV37" s="201">
        <f t="shared" si="51"/>
        <v>1142365.634758075</v>
      </c>
      <c r="AW37" s="201">
        <f t="shared" si="51"/>
        <v>1176636.6038008174</v>
      </c>
      <c r="AX37" s="201">
        <f t="shared" si="51"/>
        <v>1211935.7019148418</v>
      </c>
      <c r="AY37" s="201">
        <f t="shared" si="51"/>
        <v>1248293.7729722869</v>
      </c>
      <c r="AZ37" s="201">
        <f t="shared" si="51"/>
        <v>1285742.5861614556</v>
      </c>
      <c r="BA37" s="201">
        <f t="shared" si="51"/>
        <v>1324314.8637462992</v>
      </c>
      <c r="BB37" s="201">
        <f t="shared" si="51"/>
        <v>1364044.3096586885</v>
      </c>
      <c r="BC37" s="201">
        <f t="shared" si="51"/>
        <v>1404965.6389484489</v>
      </c>
      <c r="BD37" s="201">
        <f t="shared" si="51"/>
        <v>1447114.6081169022</v>
      </c>
      <c r="BE37" s="201">
        <f t="shared" si="51"/>
        <v>1490528.0463604094</v>
      </c>
      <c r="BF37" s="201">
        <f t="shared" si="51"/>
        <v>1535243.8877512217</v>
      </c>
      <c r="BG37" s="201">
        <f t="shared" si="51"/>
        <v>1581301.2043837584</v>
      </c>
      <c r="BH37" s="201">
        <f t="shared" si="51"/>
        <v>1628740.2405152707</v>
      </c>
      <c r="BI37" s="201">
        <f t="shared" si="51"/>
        <v>1677602.4477307291</v>
      </c>
      <c r="BJ37" s="201">
        <f t="shared" si="51"/>
        <v>1727930.521162651</v>
      </c>
      <c r="BK37" s="201">
        <f t="shared" si="51"/>
        <v>1779768.4367975302</v>
      </c>
      <c r="BL37" s="201">
        <f t="shared" si="51"/>
        <v>1833161.4899014563</v>
      </c>
      <c r="BM37" s="201">
        <f t="shared" si="51"/>
        <v>1888156.3345985</v>
      </c>
      <c r="BN37" s="201">
        <f t="shared" si="51"/>
        <v>1944801.0246364551</v>
      </c>
    </row>
    <row r="38" spans="1:66" s="201" customFormat="1" ht="13" x14ac:dyDescent="0.15">
      <c r="B38" s="178" t="s">
        <v>49</v>
      </c>
      <c r="C38" s="199"/>
      <c r="D38" s="214"/>
      <c r="E38" s="216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/>
      <c r="BG38" s="217"/>
      <c r="BH38" s="217"/>
      <c r="BI38" s="217"/>
      <c r="BJ38" s="217"/>
      <c r="BK38" s="217"/>
      <c r="BL38" s="217"/>
      <c r="BM38" s="217"/>
      <c r="BN38" s="217"/>
    </row>
    <row r="39" spans="1:66" s="201" customFormat="1" ht="13" x14ac:dyDescent="0.15">
      <c r="B39" s="220" t="s">
        <v>60</v>
      </c>
      <c r="C39" s="208"/>
      <c r="D39" s="221">
        <f>C21*C17</f>
        <v>3193750</v>
      </c>
      <c r="E39" s="222">
        <f>NPV($C$13,G39:BN39)+F39</f>
        <v>87444870.10224919</v>
      </c>
      <c r="F39" s="207">
        <f>IF(F$25&lt;&gt;0,$D39,)*F37</f>
        <v>0</v>
      </c>
      <c r="G39" s="223">
        <f t="shared" ref="G39:AL39" si="52">IF(G$25&lt;&gt;0,$D39,)*G30</f>
        <v>3193750</v>
      </c>
      <c r="H39" s="223">
        <f t="shared" si="52"/>
        <v>3289562.5</v>
      </c>
      <c r="I39" s="223">
        <f t="shared" si="52"/>
        <v>3388249.375</v>
      </c>
      <c r="J39" s="223">
        <f t="shared" ref="J39:P39" si="53">IF(J$25&lt;&gt;0,$D39,)*J30</f>
        <v>3489896.8562500002</v>
      </c>
      <c r="K39" s="223">
        <f t="shared" si="53"/>
        <v>3594593.7619374995</v>
      </c>
      <c r="L39" s="223">
        <f t="shared" si="53"/>
        <v>3702431.5747956247</v>
      </c>
      <c r="M39" s="223">
        <f t="shared" si="53"/>
        <v>3813504.5220394935</v>
      </c>
      <c r="N39" s="223">
        <f t="shared" si="53"/>
        <v>3927909.6577006783</v>
      </c>
      <c r="O39" s="223">
        <f t="shared" si="53"/>
        <v>4045746.9474316984</v>
      </c>
      <c r="P39" s="223">
        <f t="shared" si="53"/>
        <v>4167119.3558546496</v>
      </c>
      <c r="Q39" s="223">
        <f t="shared" si="52"/>
        <v>4292132.9365302892</v>
      </c>
      <c r="R39" s="223">
        <f t="shared" si="52"/>
        <v>4420896.9246261977</v>
      </c>
      <c r="S39" s="223">
        <f t="shared" si="52"/>
        <v>4553523.8323649829</v>
      </c>
      <c r="T39" s="223">
        <f t="shared" si="52"/>
        <v>4690129.547335932</v>
      </c>
      <c r="U39" s="223">
        <f t="shared" si="52"/>
        <v>4830833.4337560106</v>
      </c>
      <c r="V39" s="223">
        <f t="shared" si="52"/>
        <v>4975758.4367686911</v>
      </c>
      <c r="W39" s="223">
        <f t="shared" si="52"/>
        <v>5125031.1898717508</v>
      </c>
      <c r="X39" s="223">
        <f t="shared" si="52"/>
        <v>5278782.1255679037</v>
      </c>
      <c r="Y39" s="223">
        <f t="shared" si="52"/>
        <v>5437145.5893349405</v>
      </c>
      <c r="Z39" s="223">
        <f t="shared" si="52"/>
        <v>5600259.9570149891</v>
      </c>
      <c r="AA39" s="223">
        <f t="shared" si="52"/>
        <v>5768267.7557254387</v>
      </c>
      <c r="AB39" s="223">
        <f t="shared" si="52"/>
        <v>5941315.7883972013</v>
      </c>
      <c r="AC39" s="223">
        <f t="shared" si="52"/>
        <v>6119555.2620491171</v>
      </c>
      <c r="AD39" s="223">
        <f t="shared" si="52"/>
        <v>6303141.9199105911</v>
      </c>
      <c r="AE39" s="223">
        <f t="shared" si="52"/>
        <v>6492236.1775079081</v>
      </c>
      <c r="AF39" s="223">
        <f t="shared" si="52"/>
        <v>6687003.2628331454</v>
      </c>
      <c r="AG39" s="223">
        <f t="shared" si="52"/>
        <v>6887613.3607181404</v>
      </c>
      <c r="AH39" s="223">
        <f t="shared" si="52"/>
        <v>7094241.7615396846</v>
      </c>
      <c r="AI39" s="223">
        <f t="shared" si="52"/>
        <v>7307069.0143858744</v>
      </c>
      <c r="AJ39" s="223">
        <f t="shared" si="52"/>
        <v>7526281.0848174505</v>
      </c>
      <c r="AK39" s="223">
        <f t="shared" si="52"/>
        <v>7752069.5173619734</v>
      </c>
      <c r="AL39" s="223">
        <f t="shared" si="52"/>
        <v>7984631.6028828342</v>
      </c>
      <c r="AM39" s="223">
        <f t="shared" ref="AM39:BN39" si="54">IF(AM$25&lt;&gt;0,$D39,)*AM30</f>
        <v>8224170.5509693176</v>
      </c>
      <c r="AN39" s="223">
        <f t="shared" si="54"/>
        <v>8470895.6674983967</v>
      </c>
      <c r="AO39" s="223">
        <f t="shared" si="54"/>
        <v>8725022.5375233479</v>
      </c>
      <c r="AP39" s="223">
        <f t="shared" si="54"/>
        <v>8986773.2136490494</v>
      </c>
      <c r="AQ39" s="223">
        <f t="shared" si="54"/>
        <v>9256376.4100585207</v>
      </c>
      <c r="AR39" s="223">
        <f t="shared" si="54"/>
        <v>9534067.7023602761</v>
      </c>
      <c r="AS39" s="223">
        <f t="shared" si="54"/>
        <v>9820089.7334310841</v>
      </c>
      <c r="AT39" s="223">
        <f t="shared" si="54"/>
        <v>10114692.425434018</v>
      </c>
      <c r="AU39" s="223">
        <f t="shared" si="54"/>
        <v>10418133.198197037</v>
      </c>
      <c r="AV39" s="223">
        <f t="shared" si="54"/>
        <v>10730677.194142949</v>
      </c>
      <c r="AW39" s="223">
        <f t="shared" si="54"/>
        <v>11052597.509967238</v>
      </c>
      <c r="AX39" s="223">
        <f t="shared" si="54"/>
        <v>11384175.435266254</v>
      </c>
      <c r="AY39" s="223">
        <f t="shared" si="54"/>
        <v>11725700.698324241</v>
      </c>
      <c r="AZ39" s="223">
        <f t="shared" si="54"/>
        <v>12077471.719273968</v>
      </c>
      <c r="BA39" s="223">
        <f t="shared" si="54"/>
        <v>12439795.870852185</v>
      </c>
      <c r="BB39" s="223">
        <f t="shared" si="54"/>
        <v>12812989.746977754</v>
      </c>
      <c r="BC39" s="223">
        <f t="shared" si="54"/>
        <v>13197379.439387085</v>
      </c>
      <c r="BD39" s="223">
        <f t="shared" si="54"/>
        <v>13593300.822568696</v>
      </c>
      <c r="BE39" s="223">
        <f t="shared" si="54"/>
        <v>14001099.847245757</v>
      </c>
      <c r="BF39" s="223">
        <f t="shared" si="54"/>
        <v>14421132.84266313</v>
      </c>
      <c r="BG39" s="223">
        <f t="shared" si="54"/>
        <v>14853766.827943023</v>
      </c>
      <c r="BH39" s="223">
        <f t="shared" si="54"/>
        <v>15299379.832781311</v>
      </c>
      <c r="BI39" s="223">
        <f t="shared" si="54"/>
        <v>15758361.227764752</v>
      </c>
      <c r="BJ39" s="223">
        <f t="shared" si="54"/>
        <v>16231112.064597696</v>
      </c>
      <c r="BK39" s="223">
        <f t="shared" si="54"/>
        <v>16718045.426535623</v>
      </c>
      <c r="BL39" s="223">
        <f t="shared" si="54"/>
        <v>17219586.789331693</v>
      </c>
      <c r="BM39" s="223">
        <f t="shared" si="54"/>
        <v>17736174.393011644</v>
      </c>
      <c r="BN39" s="223">
        <f t="shared" si="54"/>
        <v>18268259.624801993</v>
      </c>
    </row>
    <row r="40" spans="1:66" s="201" customFormat="1" ht="13" x14ac:dyDescent="0.15">
      <c r="A40" s="224"/>
      <c r="B40" s="225" t="s">
        <v>52</v>
      </c>
      <c r="C40" s="208"/>
      <c r="D40" s="221"/>
      <c r="E40" s="288">
        <f>SUM(E36,E37,E39)</f>
        <v>147754069.58084479</v>
      </c>
      <c r="F40" s="20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07"/>
      <c r="AB40" s="207"/>
      <c r="AC40" s="207"/>
      <c r="AD40" s="207"/>
      <c r="AE40" s="207"/>
      <c r="AF40" s="207"/>
      <c r="AG40" s="207"/>
      <c r="AH40" s="207"/>
      <c r="AI40" s="207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7"/>
      <c r="AU40" s="207"/>
      <c r="AV40" s="207"/>
      <c r="AW40" s="207"/>
      <c r="AX40" s="207"/>
      <c r="AY40" s="207"/>
      <c r="AZ40" s="207"/>
      <c r="BA40" s="207"/>
      <c r="BB40" s="207"/>
      <c r="BC40" s="207"/>
      <c r="BD40" s="207"/>
      <c r="BE40" s="207"/>
      <c r="BF40" s="207"/>
      <c r="BG40" s="207"/>
      <c r="BH40" s="207"/>
      <c r="BI40" s="207"/>
      <c r="BJ40" s="207"/>
      <c r="BK40" s="207"/>
      <c r="BL40" s="207"/>
      <c r="BM40" s="207"/>
      <c r="BN40" s="207"/>
    </row>
    <row r="41" spans="1:66" s="201" customFormat="1" ht="13" x14ac:dyDescent="0.15">
      <c r="B41" s="178"/>
      <c r="C41" s="199"/>
      <c r="D41" s="214"/>
      <c r="E41" s="228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</row>
    <row r="42" spans="1:66" s="201" customFormat="1" ht="13" x14ac:dyDescent="0.15">
      <c r="B42" s="178" t="s">
        <v>62</v>
      </c>
      <c r="C42" s="199"/>
      <c r="D42" s="214"/>
      <c r="E42" s="213">
        <f>NPV($C$13,G42:BN42)+F42</f>
        <v>47737731.804291382</v>
      </c>
      <c r="F42" s="230">
        <f t="shared" ref="F42:AK42" si="55">F33-(F36+F37+F39)</f>
        <v>-51000000</v>
      </c>
      <c r="G42" s="230">
        <f t="shared" si="55"/>
        <v>3758950</v>
      </c>
      <c r="H42" s="230">
        <f t="shared" si="55"/>
        <v>3864207.0190000003</v>
      </c>
      <c r="I42" s="230">
        <f t="shared" si="55"/>
        <v>3972404.1409654301</v>
      </c>
      <c r="J42" s="230">
        <f t="shared" si="55"/>
        <v>4083623.2648929483</v>
      </c>
      <c r="K42" s="230">
        <f t="shared" si="55"/>
        <v>4197948.5641195597</v>
      </c>
      <c r="L42" s="230">
        <f t="shared" si="55"/>
        <v>4315466.549262045</v>
      </c>
      <c r="M42" s="230">
        <f t="shared" si="55"/>
        <v>4436266.1328913057</v>
      </c>
      <c r="N42" s="230">
        <f t="shared" si="55"/>
        <v>4560438.6959892232</v>
      </c>
      <c r="O42" s="230">
        <f t="shared" si="55"/>
        <v>4688078.1562369252</v>
      </c>
      <c r="P42" s="230">
        <f t="shared" si="55"/>
        <v>4819281.0381847518</v>
      </c>
      <c r="Q42" s="230">
        <f t="shared" si="55"/>
        <v>4954146.5453554578</v>
      </c>
      <c r="R42" s="230">
        <f t="shared" si="55"/>
        <v>5092776.6343337335</v>
      </c>
      <c r="S42" s="230">
        <f t="shared" si="55"/>
        <v>5235276.0908964872</v>
      </c>
      <c r="T42" s="230">
        <f t="shared" si="55"/>
        <v>5381752.6082398482</v>
      </c>
      <c r="U42" s="230">
        <f t="shared" si="55"/>
        <v>5532316.8673603507</v>
      </c>
      <c r="V42" s="230">
        <f t="shared" si="55"/>
        <v>5687082.6196493674</v>
      </c>
      <c r="W42" s="230">
        <f t="shared" si="55"/>
        <v>5846166.7717614435</v>
      </c>
      <c r="X42" s="230">
        <f t="shared" si="55"/>
        <v>6009689.4728188319</v>
      </c>
      <c r="Y42" s="230">
        <f t="shared" si="55"/>
        <v>6177774.2040162375</v>
      </c>
      <c r="Z42" s="230">
        <f t="shared" si="55"/>
        <v>6350547.8706915267</v>
      </c>
      <c r="AA42" s="230">
        <f t="shared" si="55"/>
        <v>6528140.8969299458</v>
      </c>
      <c r="AB42" s="230">
        <f t="shared" si="55"/>
        <v>6710687.3227712261</v>
      </c>
      <c r="AC42" s="230">
        <f t="shared" si="55"/>
        <v>6898324.9040908515</v>
      </c>
      <c r="AD42" s="230">
        <f t="shared" si="55"/>
        <v>7091195.2152286675</v>
      </c>
      <c r="AE42" s="230">
        <f t="shared" si="55"/>
        <v>7289443.7544401353</v>
      </c>
      <c r="AF42" s="230">
        <f t="shared" si="55"/>
        <v>7493220.0522473501</v>
      </c>
      <c r="AG42" s="230">
        <f t="shared" si="55"/>
        <v>7702677.782769274</v>
      </c>
      <c r="AH42" s="230">
        <f t="shared" si="55"/>
        <v>7917974.8781126635</v>
      </c>
      <c r="AI42" s="230">
        <f t="shared" si="55"/>
        <v>8139273.6459074514</v>
      </c>
      <c r="AJ42" s="230">
        <f t="shared" si="55"/>
        <v>8366740.8900725292</v>
      </c>
      <c r="AK42" s="230">
        <f t="shared" si="55"/>
        <v>8600548.0349003617</v>
      </c>
      <c r="AL42" s="230">
        <f t="shared" ref="AL42:BN42" si="56">AL33-(AL36+AL37+AL39)</f>
        <v>8840871.2525511365</v>
      </c>
      <c r="AM42" s="230">
        <f t="shared" si="56"/>
        <v>9087891.5940496344</v>
      </c>
      <c r="AN42" s="230">
        <f t="shared" si="56"/>
        <v>9341795.123880716</v>
      </c>
      <c r="AO42" s="230">
        <f t="shared" si="56"/>
        <v>9602773.0582815427</v>
      </c>
      <c r="AP42" s="230">
        <f t="shared" si="56"/>
        <v>9871021.9073318262</v>
      </c>
      <c r="AQ42" s="230">
        <f t="shared" si="56"/>
        <v>10146743.620945649</v>
      </c>
      <c r="AR42" s="230">
        <f t="shared" si="56"/>
        <v>10430145.738871619</v>
      </c>
      <c r="AS42" s="230">
        <f t="shared" si="56"/>
        <v>10721441.544810718</v>
      </c>
      <c r="AT42" s="230">
        <f t="shared" si="56"/>
        <v>11020850.224764394</v>
      </c>
      <c r="AU42" s="230">
        <f t="shared" si="56"/>
        <v>11328597.02972834</v>
      </c>
      <c r="AV42" s="230">
        <f t="shared" si="56"/>
        <v>11644913.44285067</v>
      </c>
      <c r="AW42" s="230">
        <f t="shared" si="56"/>
        <v>11970037.351176284</v>
      </c>
      <c r="AX42" s="230">
        <f t="shared" si="56"/>
        <v>12304213.222102683</v>
      </c>
      <c r="AY42" s="230">
        <f t="shared" si="56"/>
        <v>12647692.284675701</v>
      </c>
      <c r="AZ42" s="230">
        <f t="shared" si="56"/>
        <v>13000732.715857323</v>
      </c>
      <c r="BA42" s="230">
        <f t="shared" si="56"/>
        <v>13363599.831901114</v>
      </c>
      <c r="BB42" s="230">
        <f t="shared" si="56"/>
        <v>13736566.284974653</v>
      </c>
      <c r="BC42" s="230">
        <f t="shared" si="56"/>
        <v>14119912.265172031</v>
      </c>
      <c r="BD42" s="230">
        <f t="shared" si="56"/>
        <v>14513925.708063383</v>
      </c>
      <c r="BE42" s="230">
        <f t="shared" si="56"/>
        <v>14918902.507932374</v>
      </c>
      <c r="BF42" s="230">
        <f t="shared" si="56"/>
        <v>15335146.736856757</v>
      </c>
      <c r="BG42" s="230">
        <f t="shared" si="56"/>
        <v>15762970.869791167</v>
      </c>
      <c r="BH42" s="230">
        <f t="shared" si="56"/>
        <v>16202696.015815716</v>
      </c>
      <c r="BI42" s="230">
        <f t="shared" si="56"/>
        <v>16654652.155718405</v>
      </c>
      <c r="BJ42" s="230">
        <f t="shared" si="56"/>
        <v>17119178.386083804</v>
      </c>
      <c r="BK42" s="230">
        <f t="shared" si="56"/>
        <v>17596623.170065317</v>
      </c>
      <c r="BL42" s="230">
        <f t="shared" si="56"/>
        <v>18087344.59502288</v>
      </c>
      <c r="BM42" s="230">
        <f t="shared" si="56"/>
        <v>18591710.637213077</v>
      </c>
      <c r="BN42" s="230">
        <f t="shared" si="56"/>
        <v>19110099.433723703</v>
      </c>
    </row>
    <row r="43" spans="1:66" s="201" customFormat="1" ht="13" x14ac:dyDescent="0.15">
      <c r="A43" s="207"/>
      <c r="B43" s="225" t="s">
        <v>34</v>
      </c>
      <c r="C43" s="208"/>
      <c r="D43" s="221"/>
      <c r="E43" s="226"/>
      <c r="F43" s="231">
        <f>F42</f>
        <v>-51000000</v>
      </c>
      <c r="G43" s="227">
        <f>G42+F43</f>
        <v>-47241050</v>
      </c>
      <c r="H43" s="227">
        <f>H42+G43</f>
        <v>-43376842.980999999</v>
      </c>
      <c r="I43" s="227">
        <f>I42+H43</f>
        <v>-39404438.840034567</v>
      </c>
      <c r="J43" s="227">
        <f>J42+I43</f>
        <v>-35320815.575141616</v>
      </c>
      <c r="K43" s="227">
        <f t="shared" ref="K43" si="57">K42+J43</f>
        <v>-31122867.011022057</v>
      </c>
      <c r="L43" s="227">
        <f t="shared" ref="L43" si="58">L42+K43</f>
        <v>-26807400.461760014</v>
      </c>
      <c r="M43" s="227">
        <f t="shared" ref="M43" si="59">M42+L43</f>
        <v>-22371134.32886871</v>
      </c>
      <c r="N43" s="227">
        <f t="shared" ref="N43" si="60">N42+M43</f>
        <v>-17810695.632879488</v>
      </c>
      <c r="O43" s="227">
        <f t="shared" ref="O43" si="61">O42+N43</f>
        <v>-13122617.476642564</v>
      </c>
      <c r="P43" s="227">
        <f t="shared" ref="P43" si="62">P42+O43</f>
        <v>-8303336.4384578122</v>
      </c>
      <c r="Q43" s="227">
        <f>Q42+P43</f>
        <v>-3349189.8931023544</v>
      </c>
      <c r="R43" s="227">
        <f t="shared" ref="R43" si="63">R42+Q43</f>
        <v>1743586.7412313791</v>
      </c>
      <c r="S43" s="227">
        <f t="shared" ref="S43" si="64">S42+R43</f>
        <v>6978862.8321278663</v>
      </c>
      <c r="T43" s="227">
        <f t="shared" ref="T43" si="65">T42+S43</f>
        <v>12360615.440367714</v>
      </c>
      <c r="U43" s="227">
        <f t="shared" ref="U43" si="66">U42+T43</f>
        <v>17892932.307728063</v>
      </c>
      <c r="V43" s="227">
        <f t="shared" ref="V43" si="67">V42+U43</f>
        <v>23580014.927377433</v>
      </c>
      <c r="W43" s="227">
        <f t="shared" ref="W43" si="68">W42+V43</f>
        <v>29426181.699138876</v>
      </c>
      <c r="X43" s="227">
        <f t="shared" ref="X43" si="69">X42+W43</f>
        <v>35435871.171957709</v>
      </c>
      <c r="Y43" s="227">
        <f t="shared" ref="Y43" si="70">Y42+X43</f>
        <v>41613645.375973947</v>
      </c>
      <c r="Z43" s="227">
        <f t="shared" ref="Z43" si="71">Z42+Y43</f>
        <v>47964193.246665478</v>
      </c>
      <c r="AA43" s="227">
        <f t="shared" ref="AA43" si="72">AA42+Z43</f>
        <v>54492334.143595427</v>
      </c>
      <c r="AB43" s="227">
        <f t="shared" ref="AB43" si="73">AB42+AA43</f>
        <v>61203021.466366656</v>
      </c>
      <c r="AC43" s="227">
        <f t="shared" ref="AC43" si="74">AC42+AB43</f>
        <v>68101346.3704575</v>
      </c>
      <c r="AD43" s="227">
        <f t="shared" ref="AD43" si="75">AD42+AC43</f>
        <v>75192541.585686162</v>
      </c>
      <c r="AE43" s="227">
        <f t="shared" ref="AE43" si="76">AE42+AD43</f>
        <v>82481985.340126291</v>
      </c>
      <c r="AF43" s="227">
        <f t="shared" ref="AF43" si="77">AF42+AE43</f>
        <v>89975205.392373636</v>
      </c>
      <c r="AG43" s="227">
        <f t="shared" ref="AG43" si="78">AG42+AF43</f>
        <v>97677883.175142914</v>
      </c>
      <c r="AH43" s="227">
        <f t="shared" ref="AH43" si="79">AH42+AG43</f>
        <v>105595858.05325557</v>
      </c>
      <c r="AI43" s="227">
        <f t="shared" ref="AI43" si="80">AI42+AH43</f>
        <v>113735131.69916302</v>
      </c>
      <c r="AJ43" s="227">
        <f t="shared" ref="AJ43" si="81">AJ42+AI43</f>
        <v>122101872.58923554</v>
      </c>
      <c r="AK43" s="227">
        <f t="shared" ref="AK43" si="82">AK42+AJ43</f>
        <v>130702420.62413591</v>
      </c>
      <c r="AL43" s="227">
        <f t="shared" ref="AL43" si="83">AL42+AK43</f>
        <v>139543291.87668705</v>
      </c>
      <c r="AM43" s="227">
        <f t="shared" ref="AM43" si="84">AM42+AL43</f>
        <v>148631183.47073668</v>
      </c>
      <c r="AN43" s="227">
        <f t="shared" ref="AN43" si="85">AN42+AM43</f>
        <v>157972978.5946174</v>
      </c>
      <c r="AO43" s="227">
        <f t="shared" ref="AO43" si="86">AO42+AN43</f>
        <v>167575751.65289894</v>
      </c>
      <c r="AP43" s="227">
        <f t="shared" ref="AP43" si="87">AP42+AO43</f>
        <v>177446773.56023076</v>
      </c>
      <c r="AQ43" s="227">
        <f t="shared" ref="AQ43" si="88">AQ42+AP43</f>
        <v>187593517.18117642</v>
      </c>
      <c r="AR43" s="227">
        <f t="shared" ref="AR43" si="89">AR42+AQ43</f>
        <v>198023662.92004806</v>
      </c>
      <c r="AS43" s="227">
        <f t="shared" ref="AS43" si="90">AS42+AR43</f>
        <v>208745104.46485877</v>
      </c>
      <c r="AT43" s="227">
        <f t="shared" ref="AT43" si="91">AT42+AS43</f>
        <v>219765954.68962318</v>
      </c>
      <c r="AU43" s="227">
        <f t="shared" ref="AU43" si="92">AU42+AT43</f>
        <v>231094551.71935153</v>
      </c>
      <c r="AV43" s="227">
        <f t="shared" ref="AV43" si="93">AV42+AU43</f>
        <v>242739465.16220221</v>
      </c>
      <c r="AW43" s="227">
        <f t="shared" ref="AW43" si="94">AW42+AV43</f>
        <v>254709502.5133785</v>
      </c>
      <c r="AX43" s="227">
        <f t="shared" ref="AX43" si="95">AX42+AW43</f>
        <v>267013715.73548117</v>
      </c>
      <c r="AY43" s="227">
        <f t="shared" ref="AY43" si="96">AY42+AX43</f>
        <v>279661408.02015686</v>
      </c>
      <c r="AZ43" s="227">
        <f t="shared" ref="AZ43" si="97">AZ42+AY43</f>
        <v>292662140.73601419</v>
      </c>
      <c r="BA43" s="227">
        <f t="shared" ref="BA43" si="98">BA42+AZ43</f>
        <v>306025740.56791532</v>
      </c>
      <c r="BB43" s="227">
        <f t="shared" ref="BB43" si="99">BB42+BA43</f>
        <v>319762306.85288996</v>
      </c>
      <c r="BC43" s="227">
        <f t="shared" ref="BC43" si="100">BC42+BB43</f>
        <v>333882219.11806196</v>
      </c>
      <c r="BD43" s="227">
        <f t="shared" ref="BD43" si="101">BD42+BC43</f>
        <v>348396144.82612532</v>
      </c>
      <c r="BE43" s="227">
        <f t="shared" ref="BE43" si="102">BE42+BD43</f>
        <v>363315047.33405769</v>
      </c>
      <c r="BF43" s="227">
        <f t="shared" ref="BF43" si="103">BF42+BE43</f>
        <v>378650194.07091445</v>
      </c>
      <c r="BG43" s="227">
        <f t="shared" ref="BG43" si="104">BG42+BF43</f>
        <v>394413164.9407056</v>
      </c>
      <c r="BH43" s="227">
        <f t="shared" ref="BH43" si="105">BH42+BG43</f>
        <v>410615860.95652133</v>
      </c>
      <c r="BI43" s="227">
        <f t="shared" ref="BI43" si="106">BI42+BH43</f>
        <v>427270513.11223972</v>
      </c>
      <c r="BJ43" s="227">
        <f t="shared" ref="BJ43" si="107">BJ42+BI43</f>
        <v>444389691.4983235</v>
      </c>
      <c r="BK43" s="227">
        <f t="shared" ref="BK43" si="108">BK42+BJ43</f>
        <v>461986314.66838884</v>
      </c>
      <c r="BL43" s="227">
        <f t="shared" ref="BL43" si="109">BL42+BK43</f>
        <v>480073659.2634117</v>
      </c>
      <c r="BM43" s="227">
        <f t="shared" ref="BM43" si="110">BM42+BL43</f>
        <v>498665369.90062475</v>
      </c>
      <c r="BN43" s="227">
        <f t="shared" ref="BN43" si="111">BN42+BM43</f>
        <v>517775469.33434844</v>
      </c>
    </row>
    <row r="44" spans="1:66" customFormat="1" x14ac:dyDescent="0.2">
      <c r="B44" s="1"/>
      <c r="C44" s="8"/>
      <c r="D44" s="16"/>
      <c r="E44" s="19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66" customFormat="1" x14ac:dyDescent="0.2">
      <c r="B45" s="232" t="s">
        <v>11</v>
      </c>
      <c r="C45" s="233"/>
      <c r="D45" s="234"/>
      <c r="E45" s="244">
        <f>E33-E40</f>
        <v>47737731.804291397</v>
      </c>
      <c r="F45" s="235"/>
      <c r="G45" s="217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66" customFormat="1" x14ac:dyDescent="0.2">
      <c r="B46" s="236" t="s">
        <v>36</v>
      </c>
      <c r="C46" s="199"/>
      <c r="D46" s="214"/>
      <c r="E46" s="245">
        <f>IRR(F43:BN43)</f>
        <v>9.7875706580222044E-2</v>
      </c>
      <c r="F46" s="237" t="s">
        <v>3</v>
      </c>
      <c r="G46" s="217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66" customFormat="1" x14ac:dyDescent="0.2">
      <c r="B47" s="238" t="s">
        <v>37</v>
      </c>
      <c r="C47" s="208"/>
      <c r="D47" s="221"/>
      <c r="E47" s="246">
        <f>11+ABS(Q43/R42)</f>
        <v>11.657635339928964</v>
      </c>
      <c r="F47" s="239" t="s">
        <v>9</v>
      </c>
      <c r="G47" s="217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66" customFormat="1" x14ac:dyDescent="0.2">
      <c r="B48" s="197"/>
      <c r="C48" s="199"/>
      <c r="D48" s="214"/>
      <c r="E48" s="216"/>
      <c r="F48" s="201"/>
      <c r="G48" s="217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2:26" customFormat="1" x14ac:dyDescent="0.2">
      <c r="B49" s="232" t="s">
        <v>42</v>
      </c>
      <c r="C49" s="233"/>
      <c r="D49" s="234"/>
      <c r="E49" s="247">
        <f>(E36+E37)/E28</f>
        <v>0.10385651589588393</v>
      </c>
      <c r="F49" s="240" t="s">
        <v>15</v>
      </c>
      <c r="G49" s="217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2:26" customFormat="1" x14ac:dyDescent="0.2">
      <c r="B50" s="238" t="s">
        <v>61</v>
      </c>
      <c r="C50" s="208"/>
      <c r="D50" s="221"/>
      <c r="E50" s="248">
        <f>E40/E28</f>
        <v>0.25444248984851364</v>
      </c>
      <c r="F50" s="241" t="s">
        <v>15</v>
      </c>
      <c r="G50" s="217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2:26" customFormat="1" x14ac:dyDescent="0.2">
      <c r="B51" s="181"/>
      <c r="C51" s="199"/>
      <c r="D51" s="214"/>
      <c r="E51" s="216"/>
      <c r="F51" s="201"/>
      <c r="G51" s="217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2:26" customFormat="1" x14ac:dyDescent="0.2">
      <c r="B52" s="242" t="s">
        <v>27</v>
      </c>
      <c r="C52" s="336" t="s">
        <v>28</v>
      </c>
      <c r="D52" s="337"/>
      <c r="E52" s="249">
        <f>((E36+E37)+(E39))/E28*1000</f>
        <v>254.44248984851365</v>
      </c>
      <c r="F52" s="243" t="s">
        <v>14</v>
      </c>
      <c r="G52" s="201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2:26" customFormat="1" x14ac:dyDescent="0.2">
      <c r="B53" s="1"/>
      <c r="C53" s="8"/>
      <c r="D53" s="16"/>
      <c r="E53" s="19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2:26" x14ac:dyDescent="0.2">
      <c r="B54"/>
    </row>
    <row r="55" spans="2:26" x14ac:dyDescent="0.2">
      <c r="B55"/>
    </row>
    <row r="56" spans="2:26" x14ac:dyDescent="0.2">
      <c r="B56"/>
    </row>
    <row r="57" spans="2:26" x14ac:dyDescent="0.2">
      <c r="B57" s="27"/>
    </row>
    <row r="58" spans="2:26" x14ac:dyDescent="0.2">
      <c r="B58"/>
    </row>
    <row r="59" spans="2:26" x14ac:dyDescent="0.2">
      <c r="B59"/>
    </row>
    <row r="60" spans="2:26" x14ac:dyDescent="0.2">
      <c r="B60" s="31"/>
    </row>
    <row r="61" spans="2:26" x14ac:dyDescent="0.2">
      <c r="B61" s="31"/>
    </row>
    <row r="62" spans="2:26" x14ac:dyDescent="0.2">
      <c r="B62" s="31"/>
    </row>
    <row r="63" spans="2:26" x14ac:dyDescent="0.2">
      <c r="B63" s="31"/>
    </row>
    <row r="64" spans="2:26" x14ac:dyDescent="0.2">
      <c r="B64" s="32"/>
    </row>
    <row r="65" spans="2:2" x14ac:dyDescent="0.2">
      <c r="B65" s="32"/>
    </row>
    <row r="66" spans="2:2" x14ac:dyDescent="0.2">
      <c r="B66" s="32"/>
    </row>
    <row r="67" spans="2:2" x14ac:dyDescent="0.2">
      <c r="B67" s="32"/>
    </row>
    <row r="68" spans="2:2" x14ac:dyDescent="0.2">
      <c r="B68" s="32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 s="31"/>
    </row>
    <row r="74" spans="2:2" x14ac:dyDescent="0.2">
      <c r="B74" s="31"/>
    </row>
    <row r="75" spans="2:2" x14ac:dyDescent="0.2">
      <c r="B75" s="31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  <row r="80" spans="2:2" x14ac:dyDescent="0.2">
      <c r="B80"/>
    </row>
    <row r="81" spans="2:2" x14ac:dyDescent="0.2">
      <c r="B81"/>
    </row>
    <row r="82" spans="2:2" x14ac:dyDescent="0.2">
      <c r="B82" s="31"/>
    </row>
    <row r="83" spans="2:2" x14ac:dyDescent="0.2">
      <c r="B83" s="31"/>
    </row>
    <row r="84" spans="2:2" x14ac:dyDescent="0.2">
      <c r="B84" s="31"/>
    </row>
    <row r="85" spans="2:2" x14ac:dyDescent="0.2">
      <c r="B85" s="31"/>
    </row>
    <row r="86" spans="2:2" x14ac:dyDescent="0.2">
      <c r="B86" s="31"/>
    </row>
    <row r="87" spans="2:2" x14ac:dyDescent="0.2">
      <c r="B87" s="31"/>
    </row>
    <row r="88" spans="2:2" x14ac:dyDescent="0.2">
      <c r="B88"/>
    </row>
    <row r="89" spans="2:2" x14ac:dyDescent="0.2">
      <c r="B89"/>
    </row>
    <row r="90" spans="2:2" x14ac:dyDescent="0.2">
      <c r="B90"/>
    </row>
    <row r="91" spans="2:2" x14ac:dyDescent="0.2">
      <c r="B91"/>
    </row>
  </sheetData>
  <mergeCells count="17">
    <mergeCell ref="F6:H6"/>
    <mergeCell ref="F7:G7"/>
    <mergeCell ref="F8:G8"/>
    <mergeCell ref="F9:G9"/>
    <mergeCell ref="F19:G19"/>
    <mergeCell ref="F20:G20"/>
    <mergeCell ref="F21:G21"/>
    <mergeCell ref="C52:D52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</mergeCells>
  <hyperlinks>
    <hyperlink ref="D12" r:id="rId1" xr:uid="{F8F58FB4-2BD3-4B73-86FB-74D4C86FABF7}"/>
    <hyperlink ref="D11" r:id="rId2" xr:uid="{0235299E-13F5-4015-BA6F-3A882B91BD79}"/>
  </hyperlinks>
  <pageMargins left="0.7" right="0.7" top="0.75" bottom="0.75" header="0.3" footer="0.3"/>
  <pageSetup orientation="landscape" r:id="rId3"/>
  <legacy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247C4-562D-4A13-92F8-A31E44A2B073}">
  <dimension ref="A1:BN97"/>
  <sheetViews>
    <sheetView showGridLines="0" zoomScale="83" zoomScaleNormal="83" workbookViewId="0"/>
  </sheetViews>
  <sheetFormatPr baseColWidth="10" defaultColWidth="8.83203125" defaultRowHeight="15" x14ac:dyDescent="0.2"/>
  <cols>
    <col min="1" max="1" width="5.83203125" style="1" customWidth="1"/>
    <col min="2" max="2" width="23.83203125" style="1" bestFit="1" customWidth="1"/>
    <col min="3" max="3" width="10.5" style="2" bestFit="1" customWidth="1"/>
    <col min="4" max="4" width="16.1640625" style="1" bestFit="1" customWidth="1"/>
    <col min="5" max="5" width="16.5" style="1" bestFit="1" customWidth="1"/>
    <col min="6" max="6" width="16.33203125" style="1" customWidth="1"/>
    <col min="7" max="7" width="20.6640625" style="1" bestFit="1" customWidth="1"/>
    <col min="8" max="8" width="16.1640625" style="1" bestFit="1" customWidth="1"/>
    <col min="9" max="11" width="13.83203125" style="1" bestFit="1" customWidth="1"/>
    <col min="12" max="12" width="18.5" style="1" bestFit="1" customWidth="1"/>
    <col min="13" max="45" width="16.1640625" style="1" bestFit="1" customWidth="1"/>
    <col min="46" max="66" width="15" style="1" bestFit="1" customWidth="1"/>
    <col min="67" max="16384" width="8.83203125" style="1"/>
  </cols>
  <sheetData>
    <row r="1" spans="1:66" x14ac:dyDescent="0.2">
      <c r="A1" s="96" t="s">
        <v>357</v>
      </c>
    </row>
    <row r="2" spans="1:66" x14ac:dyDescent="0.2">
      <c r="A2" s="97" t="s">
        <v>370</v>
      </c>
    </row>
    <row r="4" spans="1:66" x14ac:dyDescent="0.2">
      <c r="A4" s="74"/>
      <c r="B4" s="172" t="s">
        <v>39</v>
      </c>
      <c r="C4" s="75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</row>
    <row r="5" spans="1:66" s="178" customFormat="1" ht="13" x14ac:dyDescent="0.15">
      <c r="A5" s="175" t="s">
        <v>47</v>
      </c>
      <c r="B5" s="176"/>
      <c r="C5" s="177"/>
      <c r="D5" s="176" t="s">
        <v>0</v>
      </c>
    </row>
    <row r="6" spans="1:66" s="178" customFormat="1" ht="14" x14ac:dyDescent="0.15">
      <c r="B6" s="179" t="s">
        <v>1</v>
      </c>
      <c r="C6" s="180">
        <v>10</v>
      </c>
      <c r="D6" s="178" t="s">
        <v>2</v>
      </c>
      <c r="F6" s="338" t="s">
        <v>257</v>
      </c>
      <c r="G6" s="338"/>
      <c r="H6" s="338"/>
      <c r="J6" s="181"/>
      <c r="K6" s="181"/>
      <c r="L6" s="181"/>
      <c r="M6" s="181"/>
      <c r="N6" s="181"/>
      <c r="O6" s="181"/>
      <c r="P6" s="181"/>
    </row>
    <row r="7" spans="1:66" s="178" customFormat="1" ht="13" x14ac:dyDescent="0.15">
      <c r="B7" s="179" t="s">
        <v>44</v>
      </c>
      <c r="C7" s="182">
        <v>365</v>
      </c>
      <c r="D7" s="178" t="s">
        <v>256</v>
      </c>
      <c r="F7" s="343" t="s">
        <v>84</v>
      </c>
      <c r="G7" s="344"/>
      <c r="H7" s="250">
        <v>60</v>
      </c>
      <c r="J7" s="181"/>
      <c r="K7" s="181"/>
      <c r="L7" s="181"/>
      <c r="M7" s="181"/>
      <c r="N7" s="181"/>
      <c r="O7" s="181"/>
      <c r="P7" s="181"/>
    </row>
    <row r="8" spans="1:66" s="178" customFormat="1" ht="13" x14ac:dyDescent="0.15">
      <c r="B8" s="179" t="s">
        <v>21</v>
      </c>
      <c r="C8" s="182">
        <v>10</v>
      </c>
      <c r="D8" s="178" t="s">
        <v>46</v>
      </c>
      <c r="F8" s="345" t="s">
        <v>94</v>
      </c>
      <c r="G8" s="346"/>
      <c r="H8" s="251">
        <v>0.06</v>
      </c>
      <c r="L8" s="183"/>
      <c r="M8" s="183"/>
      <c r="N8" s="183"/>
      <c r="O8" s="183"/>
      <c r="P8" s="183"/>
    </row>
    <row r="9" spans="1:66" s="178" customFormat="1" ht="13" x14ac:dyDescent="0.15">
      <c r="B9" s="178" t="s">
        <v>19</v>
      </c>
      <c r="C9" s="184">
        <v>0.8</v>
      </c>
      <c r="D9" s="178" t="s">
        <v>3</v>
      </c>
      <c r="F9" s="329" t="s">
        <v>88</v>
      </c>
      <c r="G9" s="330"/>
      <c r="H9" s="250">
        <v>580697.31069214293</v>
      </c>
      <c r="L9" s="183"/>
      <c r="M9" s="183"/>
      <c r="N9" s="183"/>
      <c r="O9" s="183"/>
      <c r="P9" s="183"/>
    </row>
    <row r="10" spans="1:66" s="178" customFormat="1" ht="13" x14ac:dyDescent="0.15">
      <c r="B10" s="179" t="s">
        <v>20</v>
      </c>
      <c r="C10" s="185">
        <v>1E-3</v>
      </c>
      <c r="D10" s="178" t="s">
        <v>3</v>
      </c>
      <c r="F10" s="329" t="s">
        <v>89</v>
      </c>
      <c r="G10" s="330"/>
      <c r="H10" s="252">
        <v>736627.77391243307</v>
      </c>
    </row>
    <row r="11" spans="1:66" s="178" customFormat="1" ht="13" x14ac:dyDescent="0.15">
      <c r="B11" s="179" t="s">
        <v>57</v>
      </c>
      <c r="C11" s="186">
        <v>3000</v>
      </c>
      <c r="D11" s="187" t="s">
        <v>5</v>
      </c>
      <c r="F11" s="329" t="s">
        <v>91</v>
      </c>
      <c r="G11" s="330"/>
      <c r="H11" s="253">
        <v>200</v>
      </c>
    </row>
    <row r="12" spans="1:66" s="178" customFormat="1" ht="13" x14ac:dyDescent="0.15">
      <c r="B12" s="179" t="s">
        <v>58</v>
      </c>
      <c r="C12" s="186">
        <v>20</v>
      </c>
      <c r="D12" s="187" t="s">
        <v>59</v>
      </c>
      <c r="F12" s="329" t="s">
        <v>76</v>
      </c>
      <c r="G12" s="330"/>
      <c r="H12" s="253">
        <v>195491801.38513619</v>
      </c>
    </row>
    <row r="13" spans="1:66" s="178" customFormat="1" ht="13" x14ac:dyDescent="0.15">
      <c r="B13" s="179" t="s">
        <v>17</v>
      </c>
      <c r="C13" s="185">
        <v>0.06</v>
      </c>
      <c r="D13" s="178" t="s">
        <v>3</v>
      </c>
      <c r="F13" s="329" t="s">
        <v>77</v>
      </c>
      <c r="G13" s="330"/>
      <c r="H13" s="253">
        <v>51000000</v>
      </c>
    </row>
    <row r="14" spans="1:66" s="178" customFormat="1" ht="13" x14ac:dyDescent="0.15">
      <c r="B14" s="188" t="s">
        <v>56</v>
      </c>
      <c r="C14" s="189">
        <v>1.7</v>
      </c>
      <c r="D14" s="178" t="s">
        <v>55</v>
      </c>
      <c r="F14" s="329" t="s">
        <v>78</v>
      </c>
      <c r="G14" s="330"/>
      <c r="H14" s="254">
        <v>9309199.4785956088</v>
      </c>
    </row>
    <row r="15" spans="1:66" s="178" customFormat="1" ht="13" x14ac:dyDescent="0.15">
      <c r="B15" s="179" t="s">
        <v>4</v>
      </c>
      <c r="C15" s="185">
        <v>0.03</v>
      </c>
      <c r="D15" s="178" t="s">
        <v>3</v>
      </c>
      <c r="F15" s="329" t="s">
        <v>276</v>
      </c>
      <c r="G15" s="330"/>
      <c r="H15" s="254">
        <v>149</v>
      </c>
      <c r="M15" s="190"/>
    </row>
    <row r="16" spans="1:66" s="178" customFormat="1" ht="13" x14ac:dyDescent="0.15">
      <c r="B16" s="179" t="s">
        <v>8</v>
      </c>
      <c r="C16" s="180">
        <v>60</v>
      </c>
      <c r="D16" s="178" t="s">
        <v>45</v>
      </c>
      <c r="F16" s="329" t="s">
        <v>92</v>
      </c>
      <c r="G16" s="330"/>
      <c r="H16" s="255" t="s">
        <v>86</v>
      </c>
      <c r="M16" s="190"/>
    </row>
    <row r="17" spans="1:66" s="178" customFormat="1" ht="13" x14ac:dyDescent="0.15">
      <c r="B17" s="179" t="s">
        <v>274</v>
      </c>
      <c r="C17" s="287">
        <v>148.83206381725302</v>
      </c>
      <c r="D17" s="178" t="s">
        <v>14</v>
      </c>
      <c r="F17" s="329" t="s">
        <v>87</v>
      </c>
      <c r="G17" s="330"/>
      <c r="H17" s="254">
        <v>136683867.10504854</v>
      </c>
      <c r="M17" s="190"/>
    </row>
    <row r="18" spans="1:66" s="178" customFormat="1" ht="13" x14ac:dyDescent="0.15">
      <c r="B18" s="179" t="s">
        <v>25</v>
      </c>
      <c r="C18" s="261">
        <v>70</v>
      </c>
      <c r="D18" s="178" t="s">
        <v>14</v>
      </c>
      <c r="F18" s="329" t="s">
        <v>79</v>
      </c>
      <c r="G18" s="330"/>
      <c r="H18" s="254">
        <v>-1501265.1985079497</v>
      </c>
      <c r="I18" s="191"/>
      <c r="M18" s="190"/>
    </row>
    <row r="19" spans="1:66" s="178" customFormat="1" ht="13" x14ac:dyDescent="0.15">
      <c r="B19" s="179" t="s">
        <v>26</v>
      </c>
      <c r="C19" s="261">
        <v>200</v>
      </c>
      <c r="D19" s="178" t="s">
        <v>14</v>
      </c>
      <c r="F19" s="329" t="s">
        <v>80</v>
      </c>
      <c r="G19" s="330"/>
      <c r="H19" s="251">
        <v>0.05</v>
      </c>
      <c r="M19" s="190"/>
    </row>
    <row r="20" spans="1:66" s="178" customFormat="1" ht="13" x14ac:dyDescent="0.15">
      <c r="B20" s="179" t="s">
        <v>270</v>
      </c>
      <c r="C20" s="192">
        <v>0.5</v>
      </c>
      <c r="F20" s="329" t="s">
        <v>81</v>
      </c>
      <c r="G20" s="330"/>
      <c r="H20" s="250">
        <v>21.13</v>
      </c>
    </row>
    <row r="21" spans="1:66" s="178" customFormat="1" ht="13" x14ac:dyDescent="0.15">
      <c r="B21" s="179" t="s">
        <v>271</v>
      </c>
      <c r="C21" s="192">
        <v>0.5</v>
      </c>
      <c r="F21" s="329" t="s">
        <v>82</v>
      </c>
      <c r="G21" s="330"/>
      <c r="H21" s="254">
        <v>0.34</v>
      </c>
    </row>
    <row r="22" spans="1:66" s="178" customFormat="1" ht="13" x14ac:dyDescent="0.15">
      <c r="A22" s="181" t="s">
        <v>48</v>
      </c>
      <c r="B22" s="179"/>
      <c r="C22" s="180"/>
      <c r="F22" s="329" t="s">
        <v>85</v>
      </c>
      <c r="G22" s="330"/>
      <c r="H22" s="254">
        <v>339.24</v>
      </c>
    </row>
    <row r="23" spans="1:66" s="178" customFormat="1" ht="13" x14ac:dyDescent="0.15">
      <c r="B23" s="179" t="s">
        <v>6</v>
      </c>
      <c r="C23" s="193">
        <f>C6*C7*C8</f>
        <v>36500</v>
      </c>
      <c r="D23" s="179" t="s">
        <v>7</v>
      </c>
      <c r="E23" s="194"/>
      <c r="F23" s="179"/>
      <c r="G23" s="179"/>
      <c r="H23" s="195"/>
    </row>
    <row r="24" spans="1:66" s="178" customFormat="1" ht="13" x14ac:dyDescent="0.15">
      <c r="B24" s="178" t="s">
        <v>24</v>
      </c>
      <c r="C24" s="196">
        <f>C23/C9</f>
        <v>45625</v>
      </c>
      <c r="D24" s="178" t="s">
        <v>7</v>
      </c>
      <c r="F24" s="179"/>
      <c r="G24" s="179"/>
      <c r="H24" s="195"/>
    </row>
    <row r="25" spans="1:66" s="178" customFormat="1" ht="13" x14ac:dyDescent="0.15">
      <c r="B25" s="178" t="s">
        <v>272</v>
      </c>
      <c r="C25" s="196">
        <f>C24*C20</f>
        <v>22812.5</v>
      </c>
      <c r="D25" s="178" t="s">
        <v>7</v>
      </c>
      <c r="E25" s="183"/>
      <c r="F25" s="179"/>
      <c r="G25" s="179"/>
      <c r="H25" s="195"/>
    </row>
    <row r="26" spans="1:66" s="178" customFormat="1" ht="13" x14ac:dyDescent="0.15">
      <c r="B26" s="178" t="s">
        <v>273</v>
      </c>
      <c r="C26" s="196">
        <f>C24*C21</f>
        <v>22812.5</v>
      </c>
      <c r="D26" s="178" t="s">
        <v>7</v>
      </c>
      <c r="F26" s="179"/>
      <c r="G26" s="179"/>
      <c r="H26" s="195"/>
    </row>
    <row r="27" spans="1:66" x14ac:dyDescent="0.2">
      <c r="B27" s="3"/>
    </row>
    <row r="28" spans="1:66" x14ac:dyDescent="0.2">
      <c r="A28" s="46"/>
      <c r="B28" s="174" t="s">
        <v>38</v>
      </c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</row>
    <row r="30" spans="1:66" customFormat="1" x14ac:dyDescent="0.2">
      <c r="A30" s="72"/>
      <c r="B30" s="173" t="s">
        <v>8</v>
      </c>
      <c r="C30" s="73"/>
      <c r="D30" s="73"/>
      <c r="E30" s="73"/>
      <c r="F30" s="73">
        <v>0</v>
      </c>
      <c r="G30" s="73">
        <v>1</v>
      </c>
      <c r="H30" s="73">
        <v>2</v>
      </c>
      <c r="I30" s="73">
        <v>3</v>
      </c>
      <c r="J30" s="73">
        <v>4</v>
      </c>
      <c r="K30" s="73">
        <v>5</v>
      </c>
      <c r="L30" s="73">
        <v>6</v>
      </c>
      <c r="M30" s="73">
        <v>7</v>
      </c>
      <c r="N30" s="73">
        <v>8</v>
      </c>
      <c r="O30" s="73">
        <v>9</v>
      </c>
      <c r="P30" s="73">
        <v>10</v>
      </c>
      <c r="Q30" s="73">
        <v>11</v>
      </c>
      <c r="R30" s="73">
        <v>12</v>
      </c>
      <c r="S30" s="73">
        <v>13</v>
      </c>
      <c r="T30" s="73">
        <v>14</v>
      </c>
      <c r="U30" s="73">
        <v>15</v>
      </c>
      <c r="V30" s="73">
        <v>16</v>
      </c>
      <c r="W30" s="73">
        <v>17</v>
      </c>
      <c r="X30" s="73">
        <v>18</v>
      </c>
      <c r="Y30" s="73">
        <v>19</v>
      </c>
      <c r="Z30" s="73">
        <v>20</v>
      </c>
      <c r="AA30" s="73">
        <v>21</v>
      </c>
      <c r="AB30" s="73">
        <v>22</v>
      </c>
      <c r="AC30" s="73">
        <v>23</v>
      </c>
      <c r="AD30" s="73">
        <v>24</v>
      </c>
      <c r="AE30" s="73">
        <v>25</v>
      </c>
      <c r="AF30" s="73">
        <v>26</v>
      </c>
      <c r="AG30" s="73">
        <v>27</v>
      </c>
      <c r="AH30" s="73">
        <v>28</v>
      </c>
      <c r="AI30" s="73">
        <v>29</v>
      </c>
      <c r="AJ30" s="73">
        <v>30</v>
      </c>
      <c r="AK30" s="73">
        <v>31</v>
      </c>
      <c r="AL30" s="73">
        <v>32</v>
      </c>
      <c r="AM30" s="73">
        <v>33</v>
      </c>
      <c r="AN30" s="73">
        <v>34</v>
      </c>
      <c r="AO30" s="73">
        <v>35</v>
      </c>
      <c r="AP30" s="73">
        <v>36</v>
      </c>
      <c r="AQ30" s="73">
        <v>37</v>
      </c>
      <c r="AR30" s="73">
        <v>38</v>
      </c>
      <c r="AS30" s="73">
        <v>39</v>
      </c>
      <c r="AT30" s="73">
        <v>40</v>
      </c>
      <c r="AU30" s="73">
        <v>41</v>
      </c>
      <c r="AV30" s="73">
        <v>42</v>
      </c>
      <c r="AW30" s="73">
        <v>43</v>
      </c>
      <c r="AX30" s="73">
        <v>44</v>
      </c>
      <c r="AY30" s="73">
        <v>45</v>
      </c>
      <c r="AZ30" s="73">
        <v>46</v>
      </c>
      <c r="BA30" s="73">
        <v>47</v>
      </c>
      <c r="BB30" s="73">
        <v>48</v>
      </c>
      <c r="BC30" s="73">
        <v>49</v>
      </c>
      <c r="BD30" s="73">
        <v>50</v>
      </c>
      <c r="BE30" s="73">
        <v>51</v>
      </c>
      <c r="BF30" s="73">
        <v>52</v>
      </c>
      <c r="BG30" s="73">
        <v>53</v>
      </c>
      <c r="BH30" s="73">
        <v>54</v>
      </c>
      <c r="BI30" s="73">
        <v>55</v>
      </c>
      <c r="BJ30" s="73">
        <v>56</v>
      </c>
      <c r="BK30" s="73">
        <v>57</v>
      </c>
      <c r="BL30" s="73">
        <v>58</v>
      </c>
      <c r="BM30" s="73">
        <v>59</v>
      </c>
      <c r="BN30" s="73">
        <v>60</v>
      </c>
    </row>
    <row r="31" spans="1:66" s="201" customFormat="1" ht="13" x14ac:dyDescent="0.15">
      <c r="A31" s="197" t="s">
        <v>50</v>
      </c>
      <c r="B31" s="198"/>
      <c r="C31" s="199"/>
      <c r="D31" s="199"/>
      <c r="E31" s="286" t="s">
        <v>11</v>
      </c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</row>
    <row r="32" spans="1:66" s="201" customFormat="1" ht="13" x14ac:dyDescent="0.15">
      <c r="B32" s="179" t="s">
        <v>20</v>
      </c>
      <c r="C32" s="199"/>
      <c r="D32" s="199"/>
      <c r="G32" s="202">
        <f t="shared" ref="G32:BN32" si="0">$C$10</f>
        <v>1E-3</v>
      </c>
      <c r="H32" s="202">
        <f t="shared" si="0"/>
        <v>1E-3</v>
      </c>
      <c r="I32" s="202">
        <f t="shared" si="0"/>
        <v>1E-3</v>
      </c>
      <c r="J32" s="202">
        <f t="shared" si="0"/>
        <v>1E-3</v>
      </c>
      <c r="K32" s="202">
        <f t="shared" si="0"/>
        <v>1E-3</v>
      </c>
      <c r="L32" s="202">
        <f t="shared" si="0"/>
        <v>1E-3</v>
      </c>
      <c r="M32" s="202">
        <f t="shared" si="0"/>
        <v>1E-3</v>
      </c>
      <c r="N32" s="202">
        <f t="shared" si="0"/>
        <v>1E-3</v>
      </c>
      <c r="O32" s="202">
        <f t="shared" si="0"/>
        <v>1E-3</v>
      </c>
      <c r="P32" s="202">
        <f t="shared" si="0"/>
        <v>1E-3</v>
      </c>
      <c r="Q32" s="202">
        <f t="shared" si="0"/>
        <v>1E-3</v>
      </c>
      <c r="R32" s="202">
        <f t="shared" si="0"/>
        <v>1E-3</v>
      </c>
      <c r="S32" s="202">
        <f t="shared" si="0"/>
        <v>1E-3</v>
      </c>
      <c r="T32" s="202">
        <f t="shared" si="0"/>
        <v>1E-3</v>
      </c>
      <c r="U32" s="202">
        <f t="shared" si="0"/>
        <v>1E-3</v>
      </c>
      <c r="V32" s="202">
        <f t="shared" si="0"/>
        <v>1E-3</v>
      </c>
      <c r="W32" s="202">
        <f t="shared" si="0"/>
        <v>1E-3</v>
      </c>
      <c r="X32" s="202">
        <f t="shared" si="0"/>
        <v>1E-3</v>
      </c>
      <c r="Y32" s="202">
        <f t="shared" si="0"/>
        <v>1E-3</v>
      </c>
      <c r="Z32" s="202">
        <f t="shared" si="0"/>
        <v>1E-3</v>
      </c>
      <c r="AA32" s="202">
        <f t="shared" si="0"/>
        <v>1E-3</v>
      </c>
      <c r="AB32" s="202">
        <f t="shared" si="0"/>
        <v>1E-3</v>
      </c>
      <c r="AC32" s="202">
        <f t="shared" si="0"/>
        <v>1E-3</v>
      </c>
      <c r="AD32" s="202">
        <f t="shared" si="0"/>
        <v>1E-3</v>
      </c>
      <c r="AE32" s="202">
        <f t="shared" si="0"/>
        <v>1E-3</v>
      </c>
      <c r="AF32" s="202">
        <f t="shared" si="0"/>
        <v>1E-3</v>
      </c>
      <c r="AG32" s="202">
        <f t="shared" si="0"/>
        <v>1E-3</v>
      </c>
      <c r="AH32" s="202">
        <f t="shared" si="0"/>
        <v>1E-3</v>
      </c>
      <c r="AI32" s="202">
        <f t="shared" si="0"/>
        <v>1E-3</v>
      </c>
      <c r="AJ32" s="202">
        <f t="shared" si="0"/>
        <v>1E-3</v>
      </c>
      <c r="AK32" s="202">
        <f t="shared" si="0"/>
        <v>1E-3</v>
      </c>
      <c r="AL32" s="202">
        <f t="shared" si="0"/>
        <v>1E-3</v>
      </c>
      <c r="AM32" s="202">
        <f t="shared" si="0"/>
        <v>1E-3</v>
      </c>
      <c r="AN32" s="202">
        <f t="shared" si="0"/>
        <v>1E-3</v>
      </c>
      <c r="AO32" s="202">
        <f t="shared" si="0"/>
        <v>1E-3</v>
      </c>
      <c r="AP32" s="202">
        <f t="shared" si="0"/>
        <v>1E-3</v>
      </c>
      <c r="AQ32" s="202">
        <f t="shared" si="0"/>
        <v>1E-3</v>
      </c>
      <c r="AR32" s="202">
        <f t="shared" si="0"/>
        <v>1E-3</v>
      </c>
      <c r="AS32" s="202">
        <f t="shared" si="0"/>
        <v>1E-3</v>
      </c>
      <c r="AT32" s="202">
        <f t="shared" si="0"/>
        <v>1E-3</v>
      </c>
      <c r="AU32" s="202">
        <f t="shared" si="0"/>
        <v>1E-3</v>
      </c>
      <c r="AV32" s="202">
        <f t="shared" si="0"/>
        <v>1E-3</v>
      </c>
      <c r="AW32" s="202">
        <f t="shared" si="0"/>
        <v>1E-3</v>
      </c>
      <c r="AX32" s="202">
        <f t="shared" si="0"/>
        <v>1E-3</v>
      </c>
      <c r="AY32" s="202">
        <f t="shared" si="0"/>
        <v>1E-3</v>
      </c>
      <c r="AZ32" s="202">
        <f t="shared" si="0"/>
        <v>1E-3</v>
      </c>
      <c r="BA32" s="202">
        <f t="shared" si="0"/>
        <v>1E-3</v>
      </c>
      <c r="BB32" s="202">
        <f t="shared" si="0"/>
        <v>1E-3</v>
      </c>
      <c r="BC32" s="202">
        <f t="shared" si="0"/>
        <v>1E-3</v>
      </c>
      <c r="BD32" s="202">
        <f t="shared" si="0"/>
        <v>1E-3</v>
      </c>
      <c r="BE32" s="202">
        <f t="shared" si="0"/>
        <v>1E-3</v>
      </c>
      <c r="BF32" s="202">
        <f t="shared" si="0"/>
        <v>1E-3</v>
      </c>
      <c r="BG32" s="202">
        <f t="shared" si="0"/>
        <v>1E-3</v>
      </c>
      <c r="BH32" s="202">
        <f t="shared" si="0"/>
        <v>1E-3</v>
      </c>
      <c r="BI32" s="202">
        <f t="shared" si="0"/>
        <v>1E-3</v>
      </c>
      <c r="BJ32" s="202">
        <f t="shared" si="0"/>
        <v>1E-3</v>
      </c>
      <c r="BK32" s="202">
        <f t="shared" si="0"/>
        <v>1E-3</v>
      </c>
      <c r="BL32" s="202">
        <f t="shared" si="0"/>
        <v>1E-3</v>
      </c>
      <c r="BM32" s="202">
        <f t="shared" si="0"/>
        <v>1E-3</v>
      </c>
      <c r="BN32" s="202">
        <f t="shared" si="0"/>
        <v>1E-3</v>
      </c>
    </row>
    <row r="33" spans="1:66" s="201" customFormat="1" ht="13" x14ac:dyDescent="0.15">
      <c r="B33" s="179" t="s">
        <v>12</v>
      </c>
      <c r="C33" s="199"/>
      <c r="D33" s="199"/>
      <c r="E33" s="203">
        <f>NPV($C$13,G33:BN33)+F33</f>
        <v>580697310.69214308</v>
      </c>
      <c r="G33" s="204">
        <f>$C$23*1000*(1-G32)</f>
        <v>36463500</v>
      </c>
      <c r="H33" s="204">
        <f t="shared" ref="H33:BN33" si="1">G33*(1-H32)</f>
        <v>36427036.5</v>
      </c>
      <c r="I33" s="204">
        <f>H33*(1-I32)</f>
        <v>36390609.463500001</v>
      </c>
      <c r="J33" s="204">
        <f t="shared" si="1"/>
        <v>36354218.854036503</v>
      </c>
      <c r="K33" s="204">
        <f t="shared" si="1"/>
        <v>36317864.635182463</v>
      </c>
      <c r="L33" s="204">
        <f t="shared" si="1"/>
        <v>36281546.770547278</v>
      </c>
      <c r="M33" s="204">
        <f t="shared" si="1"/>
        <v>36245265.223776728</v>
      </c>
      <c r="N33" s="204">
        <f t="shared" si="1"/>
        <v>36209019.958552949</v>
      </c>
      <c r="O33" s="204">
        <f t="shared" si="1"/>
        <v>36172810.938594393</v>
      </c>
      <c r="P33" s="204">
        <f t="shared" si="1"/>
        <v>36136638.127655797</v>
      </c>
      <c r="Q33" s="204">
        <f t="shared" si="1"/>
        <v>36100501.489528142</v>
      </c>
      <c r="R33" s="204">
        <f t="shared" si="1"/>
        <v>36064400.988038614</v>
      </c>
      <c r="S33" s="204">
        <f t="shared" si="1"/>
        <v>36028336.587050572</v>
      </c>
      <c r="T33" s="204">
        <f t="shared" si="1"/>
        <v>35992308.250463523</v>
      </c>
      <c r="U33" s="204">
        <f t="shared" si="1"/>
        <v>35956315.942213058</v>
      </c>
      <c r="V33" s="204">
        <f t="shared" si="1"/>
        <v>35920359.626270846</v>
      </c>
      <c r="W33" s="204">
        <f t="shared" si="1"/>
        <v>35884439.266644575</v>
      </c>
      <c r="X33" s="204">
        <f t="shared" si="1"/>
        <v>35848554.82737793</v>
      </c>
      <c r="Y33" s="204">
        <f t="shared" si="1"/>
        <v>35812706.272550553</v>
      </c>
      <c r="Z33" s="204">
        <f t="shared" si="1"/>
        <v>35776893.566278003</v>
      </c>
      <c r="AA33" s="204">
        <f t="shared" si="1"/>
        <v>35741116.672711723</v>
      </c>
      <c r="AB33" s="204">
        <f t="shared" si="1"/>
        <v>35705375.556039013</v>
      </c>
      <c r="AC33" s="204">
        <f t="shared" si="1"/>
        <v>35669670.180482976</v>
      </c>
      <c r="AD33" s="204">
        <f t="shared" si="1"/>
        <v>35634000.510302491</v>
      </c>
      <c r="AE33" s="204">
        <f t="shared" si="1"/>
        <v>35598366.509792186</v>
      </c>
      <c r="AF33" s="204">
        <f t="shared" si="1"/>
        <v>35562768.143282391</v>
      </c>
      <c r="AG33" s="204">
        <f t="shared" si="1"/>
        <v>35527205.37513911</v>
      </c>
      <c r="AH33" s="204">
        <f t="shared" si="1"/>
        <v>35491678.169763967</v>
      </c>
      <c r="AI33" s="204">
        <f t="shared" si="1"/>
        <v>35456186.491594203</v>
      </c>
      <c r="AJ33" s="204">
        <f t="shared" si="1"/>
        <v>35420730.305102609</v>
      </c>
      <c r="AK33" s="204">
        <f t="shared" si="1"/>
        <v>35385309.574797504</v>
      </c>
      <c r="AL33" s="204">
        <f t="shared" si="1"/>
        <v>35349924.265222706</v>
      </c>
      <c r="AM33" s="204">
        <f t="shared" si="1"/>
        <v>35314574.340957485</v>
      </c>
      <c r="AN33" s="204">
        <f t="shared" si="1"/>
        <v>35279259.766616531</v>
      </c>
      <c r="AO33" s="204">
        <f t="shared" si="1"/>
        <v>35243980.506849915</v>
      </c>
      <c r="AP33" s="204">
        <f t="shared" si="1"/>
        <v>35208736.526343063</v>
      </c>
      <c r="AQ33" s="204">
        <f t="shared" si="1"/>
        <v>35173527.789816722</v>
      </c>
      <c r="AR33" s="204">
        <f t="shared" si="1"/>
        <v>35138354.262026906</v>
      </c>
      <c r="AS33" s="204">
        <f t="shared" si="1"/>
        <v>35103215.907764882</v>
      </c>
      <c r="AT33" s="204">
        <f t="shared" si="1"/>
        <v>35068112.691857114</v>
      </c>
      <c r="AU33" s="204">
        <f t="shared" si="1"/>
        <v>35033044.579165258</v>
      </c>
      <c r="AV33" s="204">
        <f t="shared" si="1"/>
        <v>34998011.534586094</v>
      </c>
      <c r="AW33" s="204">
        <f t="shared" si="1"/>
        <v>34963013.523051508</v>
      </c>
      <c r="AX33" s="204">
        <f t="shared" si="1"/>
        <v>34928050.509528458</v>
      </c>
      <c r="AY33" s="204">
        <f t="shared" si="1"/>
        <v>34893122.459018931</v>
      </c>
      <c r="AZ33" s="204">
        <f t="shared" si="1"/>
        <v>34858229.336559914</v>
      </c>
      <c r="BA33" s="204">
        <f t="shared" si="1"/>
        <v>34823371.107223354</v>
      </c>
      <c r="BB33" s="204">
        <f t="shared" si="1"/>
        <v>34788547.736116134</v>
      </c>
      <c r="BC33" s="204">
        <f t="shared" si="1"/>
        <v>34753759.188380018</v>
      </c>
      <c r="BD33" s="204">
        <f t="shared" si="1"/>
        <v>34719005.429191642</v>
      </c>
      <c r="BE33" s="204">
        <f t="shared" si="1"/>
        <v>34684286.423762448</v>
      </c>
      <c r="BF33" s="204">
        <f t="shared" si="1"/>
        <v>34649602.137338683</v>
      </c>
      <c r="BG33" s="204">
        <f t="shared" si="1"/>
        <v>34614952.535201341</v>
      </c>
      <c r="BH33" s="204">
        <f t="shared" si="1"/>
        <v>34580337.582666136</v>
      </c>
      <c r="BI33" s="204">
        <f t="shared" si="1"/>
        <v>34545757.245083474</v>
      </c>
      <c r="BJ33" s="204">
        <f t="shared" si="1"/>
        <v>34511211.487838387</v>
      </c>
      <c r="BK33" s="204">
        <f t="shared" si="1"/>
        <v>34476700.27635055</v>
      </c>
      <c r="BL33" s="204">
        <f t="shared" si="1"/>
        <v>34442223.576074198</v>
      </c>
      <c r="BM33" s="204">
        <f t="shared" si="1"/>
        <v>34407781.352498122</v>
      </c>
      <c r="BN33" s="204">
        <f t="shared" si="1"/>
        <v>34373373.571145624</v>
      </c>
    </row>
    <row r="34" spans="1:66" s="201" customFormat="1" ht="13" x14ac:dyDescent="0.15">
      <c r="B34" s="179" t="s">
        <v>93</v>
      </c>
      <c r="C34" s="199"/>
      <c r="D34" s="199"/>
      <c r="E34" s="203">
        <f>NPV($C$13,G34:BN34)</f>
        <v>736627773.91243291</v>
      </c>
      <c r="G34" s="204">
        <f>$C$24*1000*(1-G32)</f>
        <v>45579375</v>
      </c>
      <c r="H34" s="204">
        <f t="shared" ref="H34:BN34" si="2">$C$24*1000*(1-H32)</f>
        <v>45579375</v>
      </c>
      <c r="I34" s="204">
        <f t="shared" si="2"/>
        <v>45579375</v>
      </c>
      <c r="J34" s="204">
        <f t="shared" si="2"/>
        <v>45579375</v>
      </c>
      <c r="K34" s="204">
        <f t="shared" si="2"/>
        <v>45579375</v>
      </c>
      <c r="L34" s="204">
        <f t="shared" si="2"/>
        <v>45579375</v>
      </c>
      <c r="M34" s="204">
        <f t="shared" si="2"/>
        <v>45579375</v>
      </c>
      <c r="N34" s="204">
        <f t="shared" si="2"/>
        <v>45579375</v>
      </c>
      <c r="O34" s="204">
        <f t="shared" si="2"/>
        <v>45579375</v>
      </c>
      <c r="P34" s="204">
        <f t="shared" si="2"/>
        <v>45579375</v>
      </c>
      <c r="Q34" s="204">
        <f t="shared" si="2"/>
        <v>45579375</v>
      </c>
      <c r="R34" s="204">
        <f t="shared" si="2"/>
        <v>45579375</v>
      </c>
      <c r="S34" s="204">
        <f t="shared" si="2"/>
        <v>45579375</v>
      </c>
      <c r="T34" s="204">
        <f t="shared" si="2"/>
        <v>45579375</v>
      </c>
      <c r="U34" s="204">
        <f t="shared" si="2"/>
        <v>45579375</v>
      </c>
      <c r="V34" s="204">
        <f t="shared" si="2"/>
        <v>45579375</v>
      </c>
      <c r="W34" s="204">
        <f t="shared" si="2"/>
        <v>45579375</v>
      </c>
      <c r="X34" s="204">
        <f t="shared" si="2"/>
        <v>45579375</v>
      </c>
      <c r="Y34" s="204">
        <f t="shared" si="2"/>
        <v>45579375</v>
      </c>
      <c r="Z34" s="204">
        <f t="shared" si="2"/>
        <v>45579375</v>
      </c>
      <c r="AA34" s="204">
        <f t="shared" si="2"/>
        <v>45579375</v>
      </c>
      <c r="AB34" s="204">
        <f t="shared" si="2"/>
        <v>45579375</v>
      </c>
      <c r="AC34" s="204">
        <f t="shared" si="2"/>
        <v>45579375</v>
      </c>
      <c r="AD34" s="204">
        <f t="shared" si="2"/>
        <v>45579375</v>
      </c>
      <c r="AE34" s="204">
        <f t="shared" si="2"/>
        <v>45579375</v>
      </c>
      <c r="AF34" s="204">
        <f t="shared" si="2"/>
        <v>45579375</v>
      </c>
      <c r="AG34" s="204">
        <f t="shared" si="2"/>
        <v>45579375</v>
      </c>
      <c r="AH34" s="204">
        <f t="shared" si="2"/>
        <v>45579375</v>
      </c>
      <c r="AI34" s="204">
        <f t="shared" si="2"/>
        <v>45579375</v>
      </c>
      <c r="AJ34" s="204">
        <f t="shared" si="2"/>
        <v>45579375</v>
      </c>
      <c r="AK34" s="204">
        <f t="shared" si="2"/>
        <v>45579375</v>
      </c>
      <c r="AL34" s="204">
        <f t="shared" si="2"/>
        <v>45579375</v>
      </c>
      <c r="AM34" s="204">
        <f t="shared" si="2"/>
        <v>45579375</v>
      </c>
      <c r="AN34" s="204">
        <f t="shared" si="2"/>
        <v>45579375</v>
      </c>
      <c r="AO34" s="204">
        <f t="shared" si="2"/>
        <v>45579375</v>
      </c>
      <c r="AP34" s="204">
        <f t="shared" si="2"/>
        <v>45579375</v>
      </c>
      <c r="AQ34" s="204">
        <f t="shared" si="2"/>
        <v>45579375</v>
      </c>
      <c r="AR34" s="204">
        <f t="shared" si="2"/>
        <v>45579375</v>
      </c>
      <c r="AS34" s="204">
        <f t="shared" si="2"/>
        <v>45579375</v>
      </c>
      <c r="AT34" s="204">
        <f t="shared" si="2"/>
        <v>45579375</v>
      </c>
      <c r="AU34" s="204">
        <f t="shared" si="2"/>
        <v>45579375</v>
      </c>
      <c r="AV34" s="204">
        <f t="shared" si="2"/>
        <v>45579375</v>
      </c>
      <c r="AW34" s="204">
        <f t="shared" si="2"/>
        <v>45579375</v>
      </c>
      <c r="AX34" s="204">
        <f t="shared" si="2"/>
        <v>45579375</v>
      </c>
      <c r="AY34" s="204">
        <f t="shared" si="2"/>
        <v>45579375</v>
      </c>
      <c r="AZ34" s="204">
        <f t="shared" si="2"/>
        <v>45579375</v>
      </c>
      <c r="BA34" s="204">
        <f t="shared" si="2"/>
        <v>45579375</v>
      </c>
      <c r="BB34" s="204">
        <f t="shared" si="2"/>
        <v>45579375</v>
      </c>
      <c r="BC34" s="204">
        <f t="shared" si="2"/>
        <v>45579375</v>
      </c>
      <c r="BD34" s="204">
        <f t="shared" si="2"/>
        <v>45579375</v>
      </c>
      <c r="BE34" s="204">
        <f t="shared" si="2"/>
        <v>45579375</v>
      </c>
      <c r="BF34" s="204">
        <f t="shared" si="2"/>
        <v>45579375</v>
      </c>
      <c r="BG34" s="204">
        <f t="shared" si="2"/>
        <v>45579375</v>
      </c>
      <c r="BH34" s="204">
        <f t="shared" si="2"/>
        <v>45579375</v>
      </c>
      <c r="BI34" s="204">
        <f t="shared" si="2"/>
        <v>45579375</v>
      </c>
      <c r="BJ34" s="204">
        <f t="shared" si="2"/>
        <v>45579375</v>
      </c>
      <c r="BK34" s="204">
        <f t="shared" si="2"/>
        <v>45579375</v>
      </c>
      <c r="BL34" s="204">
        <f t="shared" si="2"/>
        <v>45579375</v>
      </c>
      <c r="BM34" s="204">
        <f t="shared" si="2"/>
        <v>45579375</v>
      </c>
      <c r="BN34" s="204">
        <f t="shared" si="2"/>
        <v>45579375</v>
      </c>
    </row>
    <row r="35" spans="1:66" s="201" customFormat="1" ht="13" x14ac:dyDescent="0.15">
      <c r="B35" s="179" t="s">
        <v>4</v>
      </c>
      <c r="C35" s="199"/>
      <c r="D35" s="199"/>
      <c r="E35" s="203"/>
      <c r="G35" s="205">
        <f t="shared" ref="G35:BN35" si="3">(1+$C$15)^(G30-1)</f>
        <v>1</v>
      </c>
      <c r="H35" s="205">
        <f t="shared" si="3"/>
        <v>1.03</v>
      </c>
      <c r="I35" s="205">
        <f t="shared" si="3"/>
        <v>1.0609</v>
      </c>
      <c r="J35" s="205">
        <f t="shared" si="3"/>
        <v>1.092727</v>
      </c>
      <c r="K35" s="205">
        <f t="shared" si="3"/>
        <v>1.1255088099999999</v>
      </c>
      <c r="L35" s="205">
        <f t="shared" si="3"/>
        <v>1.1592740742999998</v>
      </c>
      <c r="M35" s="205">
        <f t="shared" si="3"/>
        <v>1.1940522965289999</v>
      </c>
      <c r="N35" s="205">
        <f t="shared" si="3"/>
        <v>1.22987386542487</v>
      </c>
      <c r="O35" s="205">
        <f t="shared" si="3"/>
        <v>1.2667700813876159</v>
      </c>
      <c r="P35" s="205">
        <f t="shared" si="3"/>
        <v>1.3047731838292445</v>
      </c>
      <c r="Q35" s="205">
        <f t="shared" si="3"/>
        <v>1.3439163793441218</v>
      </c>
      <c r="R35" s="205">
        <f t="shared" si="3"/>
        <v>1.3842338707244455</v>
      </c>
      <c r="S35" s="205">
        <f t="shared" si="3"/>
        <v>1.4257608868461786</v>
      </c>
      <c r="T35" s="205">
        <f t="shared" si="3"/>
        <v>1.4685337134515639</v>
      </c>
      <c r="U35" s="205">
        <f t="shared" si="3"/>
        <v>1.512589724855111</v>
      </c>
      <c r="V35" s="205">
        <f t="shared" si="3"/>
        <v>1.5579674166007644</v>
      </c>
      <c r="W35" s="205">
        <f t="shared" si="3"/>
        <v>1.6047064390987871</v>
      </c>
      <c r="X35" s="205">
        <f t="shared" si="3"/>
        <v>1.6528476322717507</v>
      </c>
      <c r="Y35" s="205">
        <f t="shared" si="3"/>
        <v>1.7024330612399032</v>
      </c>
      <c r="Z35" s="205">
        <f t="shared" si="3"/>
        <v>1.7535060530771003</v>
      </c>
      <c r="AA35" s="205">
        <f t="shared" si="3"/>
        <v>1.8061112346694133</v>
      </c>
      <c r="AB35" s="205">
        <f t="shared" si="3"/>
        <v>1.8602945717094954</v>
      </c>
      <c r="AC35" s="205">
        <f t="shared" si="3"/>
        <v>1.9161034088607805</v>
      </c>
      <c r="AD35" s="205">
        <f t="shared" si="3"/>
        <v>1.973586511126604</v>
      </c>
      <c r="AE35" s="205">
        <f t="shared" si="3"/>
        <v>2.0327941064604018</v>
      </c>
      <c r="AF35" s="205">
        <f t="shared" si="3"/>
        <v>2.0937779296542138</v>
      </c>
      <c r="AG35" s="205">
        <f t="shared" si="3"/>
        <v>2.1565912675438406</v>
      </c>
      <c r="AH35" s="205">
        <f t="shared" si="3"/>
        <v>2.2212890055701555</v>
      </c>
      <c r="AI35" s="205">
        <f t="shared" si="3"/>
        <v>2.2879276757372602</v>
      </c>
      <c r="AJ35" s="205">
        <f t="shared" si="3"/>
        <v>2.3565655060093778</v>
      </c>
      <c r="AK35" s="205">
        <f t="shared" si="3"/>
        <v>2.4272624711896591</v>
      </c>
      <c r="AL35" s="205">
        <f t="shared" si="3"/>
        <v>2.5000803453253493</v>
      </c>
      <c r="AM35" s="205">
        <f t="shared" si="3"/>
        <v>2.5750827556851092</v>
      </c>
      <c r="AN35" s="205">
        <f t="shared" si="3"/>
        <v>2.6523352383556626</v>
      </c>
      <c r="AO35" s="205">
        <f t="shared" si="3"/>
        <v>2.7319052955063321</v>
      </c>
      <c r="AP35" s="205">
        <f t="shared" si="3"/>
        <v>2.8138624543715225</v>
      </c>
      <c r="AQ35" s="205">
        <f t="shared" si="3"/>
        <v>2.898278328002668</v>
      </c>
      <c r="AR35" s="205">
        <f t="shared" si="3"/>
        <v>2.9852266778427476</v>
      </c>
      <c r="AS35" s="205">
        <f t="shared" si="3"/>
        <v>3.0747834781780301</v>
      </c>
      <c r="AT35" s="205">
        <f t="shared" si="3"/>
        <v>3.1670269825233714</v>
      </c>
      <c r="AU35" s="205">
        <f t="shared" si="3"/>
        <v>3.262037791999072</v>
      </c>
      <c r="AV35" s="205">
        <f t="shared" si="3"/>
        <v>3.3598989257590444</v>
      </c>
      <c r="AW35" s="205">
        <f t="shared" si="3"/>
        <v>3.4606958935318159</v>
      </c>
      <c r="AX35" s="205">
        <f t="shared" si="3"/>
        <v>3.5645167703377703</v>
      </c>
      <c r="AY35" s="205">
        <f t="shared" si="3"/>
        <v>3.6714522734479029</v>
      </c>
      <c r="AZ35" s="205">
        <f t="shared" si="3"/>
        <v>3.78159584165134</v>
      </c>
      <c r="BA35" s="205">
        <f t="shared" si="3"/>
        <v>3.8950437169008802</v>
      </c>
      <c r="BB35" s="205">
        <f t="shared" si="3"/>
        <v>4.0118950284079071</v>
      </c>
      <c r="BC35" s="205">
        <f t="shared" si="3"/>
        <v>4.1322518792601439</v>
      </c>
      <c r="BD35" s="205">
        <f t="shared" si="3"/>
        <v>4.2562194356379477</v>
      </c>
      <c r="BE35" s="205">
        <f t="shared" si="3"/>
        <v>4.3839060187070862</v>
      </c>
      <c r="BF35" s="205">
        <f t="shared" si="3"/>
        <v>4.5154231992682989</v>
      </c>
      <c r="BG35" s="205">
        <f t="shared" si="3"/>
        <v>4.6508858952463479</v>
      </c>
      <c r="BH35" s="205">
        <f t="shared" si="3"/>
        <v>4.7904124721037373</v>
      </c>
      <c r="BI35" s="205">
        <f t="shared" si="3"/>
        <v>4.9341248462668501</v>
      </c>
      <c r="BJ35" s="205">
        <f t="shared" si="3"/>
        <v>5.0821485916548559</v>
      </c>
      <c r="BK35" s="205">
        <f t="shared" si="3"/>
        <v>5.2346130494045005</v>
      </c>
      <c r="BL35" s="205">
        <f t="shared" si="3"/>
        <v>5.3916514408866361</v>
      </c>
      <c r="BM35" s="205">
        <f t="shared" si="3"/>
        <v>5.5534009841132352</v>
      </c>
      <c r="BN35" s="205">
        <f t="shared" si="3"/>
        <v>5.7200030136366324</v>
      </c>
    </row>
    <row r="36" spans="1:66" s="201" customFormat="1" ht="13" x14ac:dyDescent="0.15">
      <c r="B36" s="179" t="s">
        <v>43</v>
      </c>
      <c r="C36" s="199"/>
      <c r="D36" s="199"/>
      <c r="E36" s="203"/>
      <c r="F36" s="206">
        <f>($C$19/1000)*F35</f>
        <v>0</v>
      </c>
      <c r="G36" s="206">
        <f>($C$19/1000)*G35</f>
        <v>0.2</v>
      </c>
      <c r="H36" s="206">
        <f t="shared" ref="H36:BN36" si="4">($C$19/1000)*H35</f>
        <v>0.20600000000000002</v>
      </c>
      <c r="I36" s="206">
        <f t="shared" si="4"/>
        <v>0.21218000000000001</v>
      </c>
      <c r="J36" s="206">
        <f t="shared" si="4"/>
        <v>0.2185454</v>
      </c>
      <c r="K36" s="206">
        <f t="shared" si="4"/>
        <v>0.22510176199999998</v>
      </c>
      <c r="L36" s="206">
        <f t="shared" si="4"/>
        <v>0.23185481485999998</v>
      </c>
      <c r="M36" s="206">
        <f t="shared" si="4"/>
        <v>0.2388104593058</v>
      </c>
      <c r="N36" s="206">
        <f t="shared" si="4"/>
        <v>0.24597477308497401</v>
      </c>
      <c r="O36" s="206">
        <f t="shared" si="4"/>
        <v>0.25335401627752319</v>
      </c>
      <c r="P36" s="206">
        <f t="shared" si="4"/>
        <v>0.2609546367658489</v>
      </c>
      <c r="Q36" s="206">
        <f t="shared" si="4"/>
        <v>0.26878327586882439</v>
      </c>
      <c r="R36" s="206">
        <f t="shared" si="4"/>
        <v>0.27684677414488912</v>
      </c>
      <c r="S36" s="206">
        <f t="shared" si="4"/>
        <v>0.28515217736923576</v>
      </c>
      <c r="T36" s="206">
        <f t="shared" si="4"/>
        <v>0.29370674269031277</v>
      </c>
      <c r="U36" s="206">
        <f t="shared" si="4"/>
        <v>0.30251794497102225</v>
      </c>
      <c r="V36" s="206">
        <f t="shared" si="4"/>
        <v>0.31159348332015291</v>
      </c>
      <c r="W36" s="206">
        <f t="shared" si="4"/>
        <v>0.32094128781975745</v>
      </c>
      <c r="X36" s="206">
        <f t="shared" si="4"/>
        <v>0.33056952645435017</v>
      </c>
      <c r="Y36" s="206">
        <f t="shared" si="4"/>
        <v>0.34048661224798066</v>
      </c>
      <c r="Z36" s="206">
        <f t="shared" si="4"/>
        <v>0.35070121061542009</v>
      </c>
      <c r="AA36" s="206">
        <f t="shared" si="4"/>
        <v>0.36122224693388266</v>
      </c>
      <c r="AB36" s="206">
        <f t="shared" si="4"/>
        <v>0.37205891434189908</v>
      </c>
      <c r="AC36" s="206">
        <f t="shared" si="4"/>
        <v>0.38322068177215612</v>
      </c>
      <c r="AD36" s="206">
        <f t="shared" si="4"/>
        <v>0.39471730222532081</v>
      </c>
      <c r="AE36" s="206">
        <f t="shared" si="4"/>
        <v>0.40655882129208037</v>
      </c>
      <c r="AF36" s="206">
        <f t="shared" si="4"/>
        <v>0.41875558593084278</v>
      </c>
      <c r="AG36" s="206">
        <f t="shared" si="4"/>
        <v>0.43131825350876812</v>
      </c>
      <c r="AH36" s="206">
        <f t="shared" si="4"/>
        <v>0.44425780111403113</v>
      </c>
      <c r="AI36" s="206">
        <f t="shared" si="4"/>
        <v>0.45758553514745204</v>
      </c>
      <c r="AJ36" s="206">
        <f t="shared" si="4"/>
        <v>0.47131310120187558</v>
      </c>
      <c r="AK36" s="206">
        <f t="shared" si="4"/>
        <v>0.48545249423793185</v>
      </c>
      <c r="AL36" s="206">
        <f t="shared" si="4"/>
        <v>0.5000160690650699</v>
      </c>
      <c r="AM36" s="206">
        <f t="shared" si="4"/>
        <v>0.51501655113702183</v>
      </c>
      <c r="AN36" s="206">
        <f t="shared" si="4"/>
        <v>0.53046704767113251</v>
      </c>
      <c r="AO36" s="206">
        <f t="shared" si="4"/>
        <v>0.54638105910126644</v>
      </c>
      <c r="AP36" s="206">
        <f t="shared" si="4"/>
        <v>0.56277249087430448</v>
      </c>
      <c r="AQ36" s="206">
        <f t="shared" si="4"/>
        <v>0.57965566560053361</v>
      </c>
      <c r="AR36" s="206">
        <f t="shared" si="4"/>
        <v>0.59704533556854955</v>
      </c>
      <c r="AS36" s="206">
        <f t="shared" si="4"/>
        <v>0.61495669563560607</v>
      </c>
      <c r="AT36" s="206">
        <f t="shared" si="4"/>
        <v>0.63340539650467431</v>
      </c>
      <c r="AU36" s="206">
        <f t="shared" si="4"/>
        <v>0.65240755839981446</v>
      </c>
      <c r="AV36" s="206">
        <f t="shared" si="4"/>
        <v>0.67197978515180889</v>
      </c>
      <c r="AW36" s="206">
        <f t="shared" si="4"/>
        <v>0.69213917870636321</v>
      </c>
      <c r="AX36" s="206">
        <f t="shared" si="4"/>
        <v>0.71290335406755412</v>
      </c>
      <c r="AY36" s="206">
        <f t="shared" si="4"/>
        <v>0.73429045468958065</v>
      </c>
      <c r="AZ36" s="206">
        <f t="shared" si="4"/>
        <v>0.75631916833026802</v>
      </c>
      <c r="BA36" s="206">
        <f t="shared" si="4"/>
        <v>0.77900874338017612</v>
      </c>
      <c r="BB36" s="206">
        <f t="shared" si="4"/>
        <v>0.80237900568158149</v>
      </c>
      <c r="BC36" s="206">
        <f t="shared" si="4"/>
        <v>0.82645037585202885</v>
      </c>
      <c r="BD36" s="206">
        <f t="shared" si="4"/>
        <v>0.85124388712758958</v>
      </c>
      <c r="BE36" s="206">
        <f t="shared" si="4"/>
        <v>0.87678120374141733</v>
      </c>
      <c r="BF36" s="206">
        <f t="shared" si="4"/>
        <v>0.90308463985365983</v>
      </c>
      <c r="BG36" s="206">
        <f t="shared" si="4"/>
        <v>0.93017717904926966</v>
      </c>
      <c r="BH36" s="206">
        <f t="shared" si="4"/>
        <v>0.95808249442074755</v>
      </c>
      <c r="BI36" s="206">
        <f t="shared" si="4"/>
        <v>0.98682496925337004</v>
      </c>
      <c r="BJ36" s="206">
        <f t="shared" si="4"/>
        <v>1.0164297183309712</v>
      </c>
      <c r="BK36" s="206">
        <f t="shared" si="4"/>
        <v>1.0469226098809001</v>
      </c>
      <c r="BL36" s="206">
        <f t="shared" si="4"/>
        <v>1.0783302881773273</v>
      </c>
      <c r="BM36" s="206">
        <f t="shared" si="4"/>
        <v>1.1106801968226472</v>
      </c>
      <c r="BN36" s="206">
        <f t="shared" si="4"/>
        <v>1.1440006027273266</v>
      </c>
    </row>
    <row r="37" spans="1:66" s="201" customFormat="1" ht="13" x14ac:dyDescent="0.15">
      <c r="B37" s="179"/>
      <c r="C37" s="199"/>
      <c r="D37" s="199"/>
      <c r="E37" s="203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205"/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5"/>
      <c r="BA37" s="205"/>
      <c r="BB37" s="205"/>
      <c r="BC37" s="205"/>
      <c r="BD37" s="205"/>
      <c r="BE37" s="205"/>
      <c r="BF37" s="205"/>
      <c r="BG37" s="205"/>
      <c r="BH37" s="205"/>
      <c r="BI37" s="205"/>
      <c r="BJ37" s="205"/>
      <c r="BK37" s="205"/>
      <c r="BL37" s="205"/>
      <c r="BM37" s="205"/>
      <c r="BN37" s="205"/>
    </row>
    <row r="38" spans="1:66" s="201" customFormat="1" ht="13" x14ac:dyDescent="0.15">
      <c r="A38" s="207"/>
      <c r="B38" s="176" t="s">
        <v>53</v>
      </c>
      <c r="C38" s="208"/>
      <c r="D38" s="208"/>
      <c r="E38" s="209">
        <f>NPV($C$13,G38:BN38)+F38</f>
        <v>195491801.38513619</v>
      </c>
      <c r="F38" s="210">
        <f t="shared" ref="F38:BN38" si="5">F33*F36</f>
        <v>0</v>
      </c>
      <c r="G38" s="210">
        <f t="shared" si="5"/>
        <v>7292700</v>
      </c>
      <c r="H38" s="210">
        <f t="shared" si="5"/>
        <v>7503969.5190000003</v>
      </c>
      <c r="I38" s="210">
        <f t="shared" si="5"/>
        <v>7721359.5159654301</v>
      </c>
      <c r="J38" s="210">
        <f t="shared" si="5"/>
        <v>7945047.3011429487</v>
      </c>
      <c r="K38" s="210">
        <f t="shared" si="5"/>
        <v>8175215.3214570591</v>
      </c>
      <c r="L38" s="210">
        <f t="shared" si="5"/>
        <v>8412051.3093196694</v>
      </c>
      <c r="M38" s="210">
        <f t="shared" si="5"/>
        <v>8655748.4357506596</v>
      </c>
      <c r="N38" s="210">
        <f t="shared" si="5"/>
        <v>8906505.467934357</v>
      </c>
      <c r="O38" s="210">
        <f t="shared" si="5"/>
        <v>9164526.9313404132</v>
      </c>
      <c r="P38" s="210">
        <f t="shared" si="5"/>
        <v>9430023.2765413448</v>
      </c>
      <c r="Q38" s="210">
        <f t="shared" si="5"/>
        <v>9703211.0508627482</v>
      </c>
      <c r="R38" s="210">
        <f t="shared" si="5"/>
        <v>9984313.0750062428</v>
      </c>
      <c r="S38" s="210">
        <f t="shared" si="5"/>
        <v>10273558.624789171</v>
      </c>
      <c r="T38" s="210">
        <f t="shared" si="5"/>
        <v>10571183.618149312</v>
      </c>
      <c r="U38" s="210">
        <f t="shared" si="5"/>
        <v>10877430.807567099</v>
      </c>
      <c r="V38" s="210">
        <f t="shared" si="5"/>
        <v>11192549.978062319</v>
      </c>
      <c r="W38" s="210">
        <f t="shared" si="5"/>
        <v>11516798.150926782</v>
      </c>
      <c r="X38" s="210">
        <f t="shared" si="5"/>
        <v>11850439.793359131</v>
      </c>
      <c r="Y38" s="210">
        <f t="shared" si="5"/>
        <v>12193747.034172745</v>
      </c>
      <c r="Z38" s="210">
        <f t="shared" si="5"/>
        <v>12546999.88575273</v>
      </c>
      <c r="AA38" s="210">
        <f t="shared" si="5"/>
        <v>12910486.472442985</v>
      </c>
      <c r="AB38" s="210">
        <f t="shared" si="5"/>
        <v>13284503.265549656</v>
      </c>
      <c r="AC38" s="210">
        <f t="shared" si="5"/>
        <v>13669355.325152634</v>
      </c>
      <c r="AD38" s="210">
        <f t="shared" si="5"/>
        <v>14065356.548922304</v>
      </c>
      <c r="AE38" s="210">
        <f t="shared" si="5"/>
        <v>14472829.92814458</v>
      </c>
      <c r="AF38" s="210">
        <f t="shared" si="5"/>
        <v>14892107.811162928</v>
      </c>
      <c r="AG38" s="210">
        <f t="shared" si="5"/>
        <v>15323532.17445232</v>
      </c>
      <c r="AH38" s="210">
        <f t="shared" si="5"/>
        <v>15767454.901546201</v>
      </c>
      <c r="AI38" s="210">
        <f t="shared" si="5"/>
        <v>16224238.070043994</v>
      </c>
      <c r="AJ38" s="210">
        <f t="shared" si="5"/>
        <v>16694254.246933168</v>
      </c>
      <c r="AK38" s="210">
        <f t="shared" si="5"/>
        <v>17177886.792466819</v>
      </c>
      <c r="AL38" s="210">
        <f t="shared" si="5"/>
        <v>17675530.172844589</v>
      </c>
      <c r="AM38" s="210">
        <f t="shared" si="5"/>
        <v>18187590.281951889</v>
      </c>
      <c r="AN38" s="210">
        <f t="shared" si="5"/>
        <v>18714484.772420038</v>
      </c>
      <c r="AO38" s="210">
        <f t="shared" si="5"/>
        <v>19256643.396277044</v>
      </c>
      <c r="AP38" s="210">
        <f t="shared" si="5"/>
        <v>19814508.355467193</v>
      </c>
      <c r="AQ38" s="210">
        <f t="shared" si="5"/>
        <v>20388534.662525076</v>
      </c>
      <c r="AR38" s="210">
        <f t="shared" si="5"/>
        <v>20979190.511698429</v>
      </c>
      <c r="AS38" s="210">
        <f t="shared" si="5"/>
        <v>21586957.660822332</v>
      </c>
      <c r="AT38" s="210">
        <f t="shared" si="5"/>
        <v>22212331.824256357</v>
      </c>
      <c r="AU38" s="210">
        <f t="shared" si="5"/>
        <v>22855823.077205062</v>
      </c>
      <c r="AV38" s="210">
        <f t="shared" si="5"/>
        <v>23517956.271751694</v>
      </c>
      <c r="AW38" s="210">
        <f t="shared" si="5"/>
        <v>24199271.46494434</v>
      </c>
      <c r="AX38" s="210">
        <f t="shared" si="5"/>
        <v>24900324.359283779</v>
      </c>
      <c r="AY38" s="210">
        <f t="shared" si="5"/>
        <v>25621686.755972229</v>
      </c>
      <c r="AZ38" s="210">
        <f t="shared" si="5"/>
        <v>26363947.021292746</v>
      </c>
      <c r="BA38" s="210">
        <f t="shared" si="5"/>
        <v>27127710.566499598</v>
      </c>
      <c r="BB38" s="210">
        <f t="shared" si="5"/>
        <v>27913600.341611095</v>
      </c>
      <c r="BC38" s="210">
        <f t="shared" si="5"/>
        <v>28722257.343507566</v>
      </c>
      <c r="BD38" s="210">
        <f t="shared" si="5"/>
        <v>29554341.138748981</v>
      </c>
      <c r="BE38" s="210">
        <f t="shared" si="5"/>
        <v>30410530.40153854</v>
      </c>
      <c r="BF38" s="210">
        <f t="shared" si="5"/>
        <v>31291523.467271108</v>
      </c>
      <c r="BG38" s="210">
        <f t="shared" si="5"/>
        <v>32198038.902117949</v>
      </c>
      <c r="BH38" s="210">
        <f t="shared" si="5"/>
        <v>33130816.089112297</v>
      </c>
      <c r="BI38" s="210">
        <f t="shared" si="5"/>
        <v>34090615.831213884</v>
      </c>
      <c r="BJ38" s="210">
        <f t="shared" si="5"/>
        <v>35078220.971844152</v>
      </c>
      <c r="BK38" s="210">
        <f t="shared" si="5"/>
        <v>36094437.033398472</v>
      </c>
      <c r="BL38" s="210">
        <f t="shared" si="5"/>
        <v>37140092.87425603</v>
      </c>
      <c r="BM38" s="210">
        <f t="shared" si="5"/>
        <v>38216041.364823222</v>
      </c>
      <c r="BN38" s="210">
        <f t="shared" si="5"/>
        <v>39323160.083162151</v>
      </c>
    </row>
    <row r="39" spans="1:66" s="201" customFormat="1" ht="13" x14ac:dyDescent="0.15">
      <c r="B39" s="179"/>
      <c r="C39" s="199"/>
      <c r="D39" s="199"/>
      <c r="E39" s="203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</row>
    <row r="40" spans="1:66" s="201" customFormat="1" ht="13" x14ac:dyDescent="0.15">
      <c r="A40" s="197" t="s">
        <v>51</v>
      </c>
      <c r="B40" s="212"/>
      <c r="C40" s="199"/>
      <c r="D40" s="199"/>
      <c r="E40" s="213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</row>
    <row r="41" spans="1:66" s="201" customFormat="1" ht="13" x14ac:dyDescent="0.15">
      <c r="B41" s="188" t="s">
        <v>22</v>
      </c>
      <c r="C41" s="199"/>
      <c r="D41" s="214">
        <f>(C6*1000)*C14*C11</f>
        <v>51000000</v>
      </c>
      <c r="E41" s="213">
        <f>NPV($C$13,G41:BN41)+F41</f>
        <v>51000000</v>
      </c>
      <c r="F41" s="201">
        <f>IF(F$30=0,$D41,)</f>
        <v>51000000</v>
      </c>
      <c r="G41" s="201">
        <f>IF(G$30=0,$D41,)</f>
        <v>0</v>
      </c>
      <c r="H41" s="201">
        <f>IF(H$30=0,$D41,)</f>
        <v>0</v>
      </c>
      <c r="I41" s="201">
        <f>IF(I$30=0,$D41,)</f>
        <v>0</v>
      </c>
      <c r="J41" s="201">
        <f t="shared" ref="J41:BN41" si="6">IF(J$30=0,$D41,)</f>
        <v>0</v>
      </c>
      <c r="K41" s="201">
        <f t="shared" si="6"/>
        <v>0</v>
      </c>
      <c r="L41" s="201">
        <f t="shared" si="6"/>
        <v>0</v>
      </c>
      <c r="M41" s="201">
        <f t="shared" si="6"/>
        <v>0</v>
      </c>
      <c r="N41" s="201">
        <f t="shared" si="6"/>
        <v>0</v>
      </c>
      <c r="O41" s="201">
        <f t="shared" si="6"/>
        <v>0</v>
      </c>
      <c r="P41" s="201">
        <f t="shared" si="6"/>
        <v>0</v>
      </c>
      <c r="Q41" s="201">
        <f t="shared" si="6"/>
        <v>0</v>
      </c>
      <c r="R41" s="201">
        <f t="shared" si="6"/>
        <v>0</v>
      </c>
      <c r="S41" s="201">
        <f t="shared" si="6"/>
        <v>0</v>
      </c>
      <c r="T41" s="201">
        <f t="shared" si="6"/>
        <v>0</v>
      </c>
      <c r="U41" s="201">
        <f t="shared" si="6"/>
        <v>0</v>
      </c>
      <c r="V41" s="201">
        <f t="shared" si="6"/>
        <v>0</v>
      </c>
      <c r="W41" s="201">
        <f t="shared" si="6"/>
        <v>0</v>
      </c>
      <c r="X41" s="201">
        <f t="shared" si="6"/>
        <v>0</v>
      </c>
      <c r="Y41" s="201">
        <f t="shared" si="6"/>
        <v>0</v>
      </c>
      <c r="Z41" s="201">
        <f t="shared" si="6"/>
        <v>0</v>
      </c>
      <c r="AA41" s="201">
        <f t="shared" si="6"/>
        <v>0</v>
      </c>
      <c r="AB41" s="201">
        <f t="shared" si="6"/>
        <v>0</v>
      </c>
      <c r="AC41" s="201">
        <f t="shared" si="6"/>
        <v>0</v>
      </c>
      <c r="AD41" s="201">
        <f t="shared" si="6"/>
        <v>0</v>
      </c>
      <c r="AE41" s="201">
        <f t="shared" si="6"/>
        <v>0</v>
      </c>
      <c r="AF41" s="201">
        <f t="shared" si="6"/>
        <v>0</v>
      </c>
      <c r="AG41" s="201">
        <f t="shared" si="6"/>
        <v>0</v>
      </c>
      <c r="AH41" s="201">
        <f t="shared" si="6"/>
        <v>0</v>
      </c>
      <c r="AI41" s="201">
        <f t="shared" si="6"/>
        <v>0</v>
      </c>
      <c r="AJ41" s="201">
        <f t="shared" si="6"/>
        <v>0</v>
      </c>
      <c r="AK41" s="201">
        <f t="shared" si="6"/>
        <v>0</v>
      </c>
      <c r="AL41" s="201">
        <f t="shared" si="6"/>
        <v>0</v>
      </c>
      <c r="AM41" s="201">
        <f t="shared" si="6"/>
        <v>0</v>
      </c>
      <c r="AN41" s="201">
        <f t="shared" si="6"/>
        <v>0</v>
      </c>
      <c r="AO41" s="201">
        <f t="shared" si="6"/>
        <v>0</v>
      </c>
      <c r="AP41" s="201">
        <f t="shared" si="6"/>
        <v>0</v>
      </c>
      <c r="AQ41" s="201">
        <f t="shared" si="6"/>
        <v>0</v>
      </c>
      <c r="AR41" s="201">
        <f t="shared" si="6"/>
        <v>0</v>
      </c>
      <c r="AS41" s="201">
        <f t="shared" si="6"/>
        <v>0</v>
      </c>
      <c r="AT41" s="201">
        <f t="shared" si="6"/>
        <v>0</v>
      </c>
      <c r="AU41" s="201">
        <f t="shared" si="6"/>
        <v>0</v>
      </c>
      <c r="AV41" s="201">
        <f t="shared" si="6"/>
        <v>0</v>
      </c>
      <c r="AW41" s="201">
        <f t="shared" si="6"/>
        <v>0</v>
      </c>
      <c r="AX41" s="201">
        <f t="shared" si="6"/>
        <v>0</v>
      </c>
      <c r="AY41" s="201">
        <f t="shared" si="6"/>
        <v>0</v>
      </c>
      <c r="AZ41" s="201">
        <f t="shared" si="6"/>
        <v>0</v>
      </c>
      <c r="BA41" s="201">
        <f t="shared" si="6"/>
        <v>0</v>
      </c>
      <c r="BB41" s="201">
        <f t="shared" si="6"/>
        <v>0</v>
      </c>
      <c r="BC41" s="201">
        <f t="shared" si="6"/>
        <v>0</v>
      </c>
      <c r="BD41" s="201">
        <f t="shared" si="6"/>
        <v>0</v>
      </c>
      <c r="BE41" s="201">
        <f t="shared" si="6"/>
        <v>0</v>
      </c>
      <c r="BF41" s="201">
        <f t="shared" si="6"/>
        <v>0</v>
      </c>
      <c r="BG41" s="201">
        <f t="shared" si="6"/>
        <v>0</v>
      </c>
      <c r="BH41" s="201">
        <f t="shared" si="6"/>
        <v>0</v>
      </c>
      <c r="BI41" s="201">
        <f t="shared" si="6"/>
        <v>0</v>
      </c>
      <c r="BJ41" s="201">
        <f t="shared" si="6"/>
        <v>0</v>
      </c>
      <c r="BK41" s="201">
        <f t="shared" si="6"/>
        <v>0</v>
      </c>
      <c r="BL41" s="201">
        <f t="shared" si="6"/>
        <v>0</v>
      </c>
      <c r="BM41" s="201">
        <f t="shared" si="6"/>
        <v>0</v>
      </c>
      <c r="BN41" s="201">
        <f t="shared" si="6"/>
        <v>0</v>
      </c>
    </row>
    <row r="42" spans="1:66" s="201" customFormat="1" ht="13" x14ac:dyDescent="0.15">
      <c r="B42" s="188" t="s">
        <v>18</v>
      </c>
      <c r="C42" s="199"/>
      <c r="D42" s="214">
        <f>(C6*1000)*C14*C12</f>
        <v>340000</v>
      </c>
      <c r="E42" s="213">
        <f>NPV($C$13,G42:BN42)+F42</f>
        <v>9309199.4785956088</v>
      </c>
      <c r="F42" s="201">
        <f>IF(F$30&lt;&gt;0,$D42,)*F35</f>
        <v>0</v>
      </c>
      <c r="G42" s="215">
        <f>IF(G$30&lt;&gt;0,$D42,)*G35</f>
        <v>340000</v>
      </c>
      <c r="H42" s="215">
        <f>IF(H$30&lt;&gt;0,$D42,)*H35</f>
        <v>350200</v>
      </c>
      <c r="I42" s="201">
        <f t="shared" ref="I42:BN42" si="7">IF(I$30&lt;&gt;0,$D42,)*I35</f>
        <v>360706</v>
      </c>
      <c r="J42" s="201">
        <f t="shared" si="7"/>
        <v>371527.18</v>
      </c>
      <c r="K42" s="201">
        <f t="shared" si="7"/>
        <v>382672.99539999996</v>
      </c>
      <c r="L42" s="201">
        <f t="shared" si="7"/>
        <v>394153.18526199996</v>
      </c>
      <c r="M42" s="201">
        <f t="shared" si="7"/>
        <v>405977.78081986</v>
      </c>
      <c r="N42" s="201">
        <f t="shared" si="7"/>
        <v>418157.11424445582</v>
      </c>
      <c r="O42" s="201">
        <f t="shared" si="7"/>
        <v>430701.82767178939</v>
      </c>
      <c r="P42" s="201">
        <f t="shared" si="7"/>
        <v>443622.8825019431</v>
      </c>
      <c r="Q42" s="201">
        <f t="shared" si="7"/>
        <v>456931.56897700141</v>
      </c>
      <c r="R42" s="201">
        <f t="shared" si="7"/>
        <v>470639.51604631147</v>
      </c>
      <c r="S42" s="201">
        <f t="shared" si="7"/>
        <v>484758.70152770076</v>
      </c>
      <c r="T42" s="201">
        <f t="shared" si="7"/>
        <v>499301.46257353172</v>
      </c>
      <c r="U42" s="201">
        <f t="shared" si="7"/>
        <v>514280.50645073777</v>
      </c>
      <c r="V42" s="201">
        <f t="shared" si="7"/>
        <v>529708.92164425994</v>
      </c>
      <c r="W42" s="201">
        <f t="shared" si="7"/>
        <v>545600.18929358758</v>
      </c>
      <c r="X42" s="201">
        <f t="shared" si="7"/>
        <v>561968.1949723952</v>
      </c>
      <c r="Y42" s="201">
        <f t="shared" si="7"/>
        <v>578827.24082156713</v>
      </c>
      <c r="Z42" s="201">
        <f t="shared" si="7"/>
        <v>596192.05804621405</v>
      </c>
      <c r="AA42" s="201">
        <f t="shared" si="7"/>
        <v>614077.81978760054</v>
      </c>
      <c r="AB42" s="201">
        <f t="shared" si="7"/>
        <v>632500.15438122849</v>
      </c>
      <c r="AC42" s="201">
        <f t="shared" si="7"/>
        <v>651475.15901266539</v>
      </c>
      <c r="AD42" s="201">
        <f t="shared" si="7"/>
        <v>671019.41378304537</v>
      </c>
      <c r="AE42" s="201">
        <f t="shared" si="7"/>
        <v>691149.99619653658</v>
      </c>
      <c r="AF42" s="201">
        <f t="shared" si="7"/>
        <v>711884.49608243268</v>
      </c>
      <c r="AG42" s="201">
        <f t="shared" si="7"/>
        <v>733241.03096490575</v>
      </c>
      <c r="AH42" s="201">
        <f t="shared" si="7"/>
        <v>755238.26189385285</v>
      </c>
      <c r="AI42" s="201">
        <f t="shared" si="7"/>
        <v>777895.40975066845</v>
      </c>
      <c r="AJ42" s="201">
        <f t="shared" si="7"/>
        <v>801232.27204318845</v>
      </c>
      <c r="AK42" s="201">
        <f t="shared" si="7"/>
        <v>825269.24020448409</v>
      </c>
      <c r="AL42" s="201">
        <f t="shared" si="7"/>
        <v>850027.31741061877</v>
      </c>
      <c r="AM42" s="201">
        <f t="shared" si="7"/>
        <v>875528.1369329372</v>
      </c>
      <c r="AN42" s="201">
        <f t="shared" si="7"/>
        <v>901793.98104092525</v>
      </c>
      <c r="AO42" s="201">
        <f t="shared" si="7"/>
        <v>928847.80047215289</v>
      </c>
      <c r="AP42" s="201">
        <f t="shared" si="7"/>
        <v>956713.23448631761</v>
      </c>
      <c r="AQ42" s="201">
        <f t="shared" si="7"/>
        <v>985414.63152090716</v>
      </c>
      <c r="AR42" s="201">
        <f t="shared" si="7"/>
        <v>1014977.0704665342</v>
      </c>
      <c r="AS42" s="201">
        <f t="shared" si="7"/>
        <v>1045426.3825805302</v>
      </c>
      <c r="AT42" s="201">
        <f t="shared" si="7"/>
        <v>1076789.1740579463</v>
      </c>
      <c r="AU42" s="201">
        <f t="shared" si="7"/>
        <v>1109092.8492796845</v>
      </c>
      <c r="AV42" s="201">
        <f t="shared" si="7"/>
        <v>1142365.634758075</v>
      </c>
      <c r="AW42" s="201">
        <f t="shared" si="7"/>
        <v>1176636.6038008174</v>
      </c>
      <c r="AX42" s="201">
        <f t="shared" si="7"/>
        <v>1211935.7019148418</v>
      </c>
      <c r="AY42" s="201">
        <f t="shared" si="7"/>
        <v>1248293.7729722869</v>
      </c>
      <c r="AZ42" s="201">
        <f t="shared" si="7"/>
        <v>1285742.5861614556</v>
      </c>
      <c r="BA42" s="201">
        <f t="shared" si="7"/>
        <v>1324314.8637462992</v>
      </c>
      <c r="BB42" s="201">
        <f t="shared" si="7"/>
        <v>1364044.3096586885</v>
      </c>
      <c r="BC42" s="201">
        <f t="shared" si="7"/>
        <v>1404965.6389484489</v>
      </c>
      <c r="BD42" s="201">
        <f t="shared" si="7"/>
        <v>1447114.6081169022</v>
      </c>
      <c r="BE42" s="201">
        <f t="shared" si="7"/>
        <v>1490528.0463604094</v>
      </c>
      <c r="BF42" s="201">
        <f t="shared" si="7"/>
        <v>1535243.8877512217</v>
      </c>
      <c r="BG42" s="201">
        <f t="shared" si="7"/>
        <v>1581301.2043837584</v>
      </c>
      <c r="BH42" s="201">
        <f t="shared" si="7"/>
        <v>1628740.2405152707</v>
      </c>
      <c r="BI42" s="201">
        <f t="shared" si="7"/>
        <v>1677602.4477307291</v>
      </c>
      <c r="BJ42" s="201">
        <f t="shared" si="7"/>
        <v>1727930.521162651</v>
      </c>
      <c r="BK42" s="201">
        <f t="shared" si="7"/>
        <v>1779768.4367975302</v>
      </c>
      <c r="BL42" s="201">
        <f t="shared" si="7"/>
        <v>1833161.4899014563</v>
      </c>
      <c r="BM42" s="201">
        <f t="shared" si="7"/>
        <v>1888156.3345985</v>
      </c>
      <c r="BN42" s="201">
        <f t="shared" si="7"/>
        <v>1944801.0246364551</v>
      </c>
    </row>
    <row r="43" spans="1:66" s="201" customFormat="1" ht="13" x14ac:dyDescent="0.15">
      <c r="B43" s="178" t="s">
        <v>49</v>
      </c>
      <c r="C43" s="199"/>
      <c r="D43" s="214"/>
      <c r="E43" s="216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7"/>
      <c r="BH43" s="217"/>
      <c r="BI43" s="217"/>
      <c r="BJ43" s="217"/>
      <c r="BK43" s="217"/>
      <c r="BL43" s="217"/>
      <c r="BM43" s="217"/>
      <c r="BN43" s="217"/>
    </row>
    <row r="44" spans="1:66" s="201" customFormat="1" ht="13" x14ac:dyDescent="0.15">
      <c r="B44" s="218" t="s">
        <v>275</v>
      </c>
      <c r="C44" s="199"/>
      <c r="D44" s="214">
        <f>C17*C25</f>
        <v>3395231.4558310844</v>
      </c>
      <c r="E44" s="213">
        <f>NPV($C$13,G44:BN44)+F44</f>
        <v>92961432.053923935</v>
      </c>
      <c r="F44" s="201">
        <f>IF(F$30&lt;&gt;0,$D44,)*F35</f>
        <v>0</v>
      </c>
      <c r="G44" s="219">
        <f>IF(G$30&lt;&gt;0,$D44,)*G35</f>
        <v>3395231.4558310844</v>
      </c>
      <c r="H44" s="219">
        <f>IF(H$30&lt;&gt;0,$D44,)*H35</f>
        <v>3497088.3995060171</v>
      </c>
      <c r="I44" s="219">
        <f t="shared" ref="I44:BN44" si="8">IF(I$30&lt;&gt;0,$D44,)*I35</f>
        <v>3602001.0514911972</v>
      </c>
      <c r="J44" s="219">
        <f t="shared" si="8"/>
        <v>3710061.0830359333</v>
      </c>
      <c r="K44" s="219">
        <f t="shared" si="8"/>
        <v>3821362.9155270113</v>
      </c>
      <c r="L44" s="219">
        <f t="shared" si="8"/>
        <v>3936003.8029928212</v>
      </c>
      <c r="M44" s="219">
        <f t="shared" si="8"/>
        <v>4054083.9170826059</v>
      </c>
      <c r="N44" s="219">
        <f t="shared" si="8"/>
        <v>4175706.4345950843</v>
      </c>
      <c r="O44" s="219">
        <f t="shared" si="8"/>
        <v>4300977.6276329365</v>
      </c>
      <c r="P44" s="219">
        <f t="shared" si="8"/>
        <v>4430006.9564619251</v>
      </c>
      <c r="Q44" s="219">
        <f t="shared" si="8"/>
        <v>4562907.1651557824</v>
      </c>
      <c r="R44" s="219">
        <f t="shared" si="8"/>
        <v>4699794.3801104557</v>
      </c>
      <c r="S44" s="219">
        <f t="shared" si="8"/>
        <v>4840788.2115137689</v>
      </c>
      <c r="T44" s="219">
        <f t="shared" si="8"/>
        <v>4986011.8578591822</v>
      </c>
      <c r="U44" s="219">
        <f t="shared" si="8"/>
        <v>5135592.2135949582</v>
      </c>
      <c r="V44" s="219">
        <f t="shared" si="8"/>
        <v>5289659.9800028075</v>
      </c>
      <c r="W44" s="219">
        <f t="shared" si="8"/>
        <v>5448349.7794028902</v>
      </c>
      <c r="X44" s="219">
        <f t="shared" si="8"/>
        <v>5611800.2727849772</v>
      </c>
      <c r="Y44" s="219">
        <f t="shared" si="8"/>
        <v>5780154.2809685264</v>
      </c>
      <c r="Z44" s="219">
        <f t="shared" si="8"/>
        <v>5953558.9093975816</v>
      </c>
      <c r="AA44" s="219">
        <f t="shared" si="8"/>
        <v>6132165.6766795097</v>
      </c>
      <c r="AB44" s="219">
        <f t="shared" si="8"/>
        <v>6316130.6469798936</v>
      </c>
      <c r="AC44" s="219">
        <f t="shared" si="8"/>
        <v>6505614.5663892915</v>
      </c>
      <c r="AD44" s="219">
        <f t="shared" si="8"/>
        <v>6700783.0033809701</v>
      </c>
      <c r="AE44" s="219">
        <f t="shared" si="8"/>
        <v>6901806.4934823988</v>
      </c>
      <c r="AF44" s="219">
        <f t="shared" si="8"/>
        <v>7108860.6882868698</v>
      </c>
      <c r="AG44" s="219">
        <f t="shared" si="8"/>
        <v>7322126.5089354776</v>
      </c>
      <c r="AH44" s="219">
        <f t="shared" si="8"/>
        <v>7541790.304203541</v>
      </c>
      <c r="AI44" s="219">
        <f t="shared" si="8"/>
        <v>7768044.0133296475</v>
      </c>
      <c r="AJ44" s="219">
        <f t="shared" si="8"/>
        <v>8001085.3337295353</v>
      </c>
      <c r="AK44" s="219">
        <f t="shared" si="8"/>
        <v>8241117.8937414214</v>
      </c>
      <c r="AL44" s="219">
        <f t="shared" si="8"/>
        <v>8488351.4305536654</v>
      </c>
      <c r="AM44" s="219">
        <f t="shared" si="8"/>
        <v>8743001.9734702744</v>
      </c>
      <c r="AN44" s="219">
        <f t="shared" si="8"/>
        <v>9005292.0326743834</v>
      </c>
      <c r="AO44" s="219">
        <f t="shared" si="8"/>
        <v>9275450.7936546132</v>
      </c>
      <c r="AP44" s="219">
        <f t="shared" si="8"/>
        <v>9553714.3174642529</v>
      </c>
      <c r="AQ44" s="219">
        <f t="shared" si="8"/>
        <v>9840325.7469881792</v>
      </c>
      <c r="AR44" s="219">
        <f t="shared" si="8"/>
        <v>10135535.519397823</v>
      </c>
      <c r="AS44" s="219">
        <f t="shared" si="8"/>
        <v>10439601.584979758</v>
      </c>
      <c r="AT44" s="219">
        <f t="shared" si="8"/>
        <v>10752789.632529153</v>
      </c>
      <c r="AU44" s="219">
        <f t="shared" si="8"/>
        <v>11075373.321505025</v>
      </c>
      <c r="AV44" s="219">
        <f t="shared" si="8"/>
        <v>11407634.521150177</v>
      </c>
      <c r="AW44" s="219">
        <f t="shared" si="8"/>
        <v>11749863.556784684</v>
      </c>
      <c r="AX44" s="219">
        <f t="shared" si="8"/>
        <v>12102359.463488223</v>
      </c>
      <c r="AY44" s="219">
        <f t="shared" si="8"/>
        <v>12465430.247392869</v>
      </c>
      <c r="AZ44" s="219">
        <f t="shared" si="8"/>
        <v>12839393.154814653</v>
      </c>
      <c r="BA44" s="219">
        <f t="shared" si="8"/>
        <v>13224574.949459095</v>
      </c>
      <c r="BB44" s="219">
        <f t="shared" si="8"/>
        <v>13621312.197942868</v>
      </c>
      <c r="BC44" s="219">
        <f t="shared" si="8"/>
        <v>14029951.563881153</v>
      </c>
      <c r="BD44" s="219">
        <f t="shared" si="8"/>
        <v>14450850.110797586</v>
      </c>
      <c r="BE44" s="219">
        <f t="shared" si="8"/>
        <v>14884375.614121513</v>
      </c>
      <c r="BF44" s="219">
        <f t="shared" si="8"/>
        <v>15330906.88254516</v>
      </c>
      <c r="BG44" s="219">
        <f t="shared" si="8"/>
        <v>15790834.089021513</v>
      </c>
      <c r="BH44" s="219">
        <f t="shared" si="8"/>
        <v>16264559.111692157</v>
      </c>
      <c r="BI44" s="219">
        <f t="shared" si="8"/>
        <v>16752495.885042923</v>
      </c>
      <c r="BJ44" s="219">
        <f t="shared" si="8"/>
        <v>17255070.76159421</v>
      </c>
      <c r="BK44" s="219">
        <f t="shared" si="8"/>
        <v>17772722.884442035</v>
      </c>
      <c r="BL44" s="219">
        <f t="shared" si="8"/>
        <v>18305904.570975296</v>
      </c>
      <c r="BM44" s="219">
        <f t="shared" si="8"/>
        <v>18855081.708104558</v>
      </c>
      <c r="BN44" s="219">
        <f t="shared" si="8"/>
        <v>19420734.159347694</v>
      </c>
    </row>
    <row r="45" spans="1:66" s="201" customFormat="1" ht="13" x14ac:dyDescent="0.15">
      <c r="B45" s="220" t="s">
        <v>60</v>
      </c>
      <c r="C45" s="208"/>
      <c r="D45" s="221">
        <f>C26*C18</f>
        <v>1596875</v>
      </c>
      <c r="E45" s="222">
        <f>NPV($C$13,G45:BN45)+F45</f>
        <v>43722435.051124595</v>
      </c>
      <c r="F45" s="207">
        <f>IF(F$30&lt;&gt;0,$D45,)*F35</f>
        <v>0</v>
      </c>
      <c r="G45" s="223">
        <f>IF(G$30&lt;&gt;0,$D45,)*G35</f>
        <v>1596875</v>
      </c>
      <c r="H45" s="223">
        <f>IF(H$30&lt;&gt;0,$D45,)*H35</f>
        <v>1644781.25</v>
      </c>
      <c r="I45" s="223">
        <f t="shared" ref="I45:BN45" si="9">IF(I$30&lt;&gt;0,$D45,)*I35</f>
        <v>1694124.6875</v>
      </c>
      <c r="J45" s="223">
        <f t="shared" si="9"/>
        <v>1744948.4281250001</v>
      </c>
      <c r="K45" s="223">
        <f t="shared" si="9"/>
        <v>1797296.8809687498</v>
      </c>
      <c r="L45" s="223">
        <f t="shared" si="9"/>
        <v>1851215.7873978124</v>
      </c>
      <c r="M45" s="223">
        <f t="shared" si="9"/>
        <v>1906752.2610197468</v>
      </c>
      <c r="N45" s="223">
        <f t="shared" si="9"/>
        <v>1963954.8288503392</v>
      </c>
      <c r="O45" s="223">
        <f t="shared" si="9"/>
        <v>2022873.4737158492</v>
      </c>
      <c r="P45" s="223">
        <f t="shared" si="9"/>
        <v>2083559.6779273248</v>
      </c>
      <c r="Q45" s="223">
        <f t="shared" si="9"/>
        <v>2146066.4682651446</v>
      </c>
      <c r="R45" s="223">
        <f t="shared" si="9"/>
        <v>2210448.4623130988</v>
      </c>
      <c r="S45" s="223">
        <f t="shared" si="9"/>
        <v>2276761.9161824915</v>
      </c>
      <c r="T45" s="223">
        <f t="shared" si="9"/>
        <v>2345064.773667966</v>
      </c>
      <c r="U45" s="223">
        <f t="shared" si="9"/>
        <v>2415416.7168780053</v>
      </c>
      <c r="V45" s="223">
        <f t="shared" si="9"/>
        <v>2487879.2183843455</v>
      </c>
      <c r="W45" s="223">
        <f t="shared" si="9"/>
        <v>2562515.5949358754</v>
      </c>
      <c r="X45" s="223">
        <f t="shared" si="9"/>
        <v>2639391.0627839519</v>
      </c>
      <c r="Y45" s="223">
        <f t="shared" si="9"/>
        <v>2718572.7946674703</v>
      </c>
      <c r="Z45" s="223">
        <f t="shared" si="9"/>
        <v>2800129.9785074946</v>
      </c>
      <c r="AA45" s="223">
        <f t="shared" si="9"/>
        <v>2884133.8778627194</v>
      </c>
      <c r="AB45" s="223">
        <f t="shared" si="9"/>
        <v>2970657.8941986007</v>
      </c>
      <c r="AC45" s="223">
        <f t="shared" si="9"/>
        <v>3059777.6310245586</v>
      </c>
      <c r="AD45" s="223">
        <f t="shared" si="9"/>
        <v>3151570.9599552955</v>
      </c>
      <c r="AE45" s="223">
        <f t="shared" si="9"/>
        <v>3246118.088753954</v>
      </c>
      <c r="AF45" s="223">
        <f t="shared" si="9"/>
        <v>3343501.6314165727</v>
      </c>
      <c r="AG45" s="223">
        <f t="shared" si="9"/>
        <v>3443806.6803590702</v>
      </c>
      <c r="AH45" s="223">
        <f t="shared" si="9"/>
        <v>3547120.8807698423</v>
      </c>
      <c r="AI45" s="223">
        <f t="shared" si="9"/>
        <v>3653534.5071929372</v>
      </c>
      <c r="AJ45" s="223">
        <f t="shared" si="9"/>
        <v>3763140.5424087252</v>
      </c>
      <c r="AK45" s="223">
        <f t="shared" si="9"/>
        <v>3876034.7586809867</v>
      </c>
      <c r="AL45" s="223">
        <f t="shared" si="9"/>
        <v>3992315.8014414171</v>
      </c>
      <c r="AM45" s="223">
        <f t="shared" si="9"/>
        <v>4112085.2754846588</v>
      </c>
      <c r="AN45" s="223">
        <f t="shared" si="9"/>
        <v>4235447.8337491984</v>
      </c>
      <c r="AO45" s="223">
        <f t="shared" si="9"/>
        <v>4362511.2687616739</v>
      </c>
      <c r="AP45" s="223">
        <f t="shared" si="9"/>
        <v>4493386.6068245247</v>
      </c>
      <c r="AQ45" s="223">
        <f t="shared" si="9"/>
        <v>4628188.2050292604</v>
      </c>
      <c r="AR45" s="223">
        <f t="shared" si="9"/>
        <v>4767033.8511801381</v>
      </c>
      <c r="AS45" s="223">
        <f t="shared" si="9"/>
        <v>4910044.866715542</v>
      </c>
      <c r="AT45" s="223">
        <f t="shared" si="9"/>
        <v>5057346.2127170088</v>
      </c>
      <c r="AU45" s="223">
        <f t="shared" si="9"/>
        <v>5209066.5990985185</v>
      </c>
      <c r="AV45" s="223">
        <f t="shared" si="9"/>
        <v>5365338.5970714744</v>
      </c>
      <c r="AW45" s="223">
        <f t="shared" si="9"/>
        <v>5526298.7549836189</v>
      </c>
      <c r="AX45" s="223">
        <f t="shared" si="9"/>
        <v>5692087.7176331272</v>
      </c>
      <c r="AY45" s="223">
        <f t="shared" si="9"/>
        <v>5862850.3491621204</v>
      </c>
      <c r="AZ45" s="223">
        <f t="shared" si="9"/>
        <v>6038735.8596369838</v>
      </c>
      <c r="BA45" s="223">
        <f t="shared" si="9"/>
        <v>6219897.9354260927</v>
      </c>
      <c r="BB45" s="223">
        <f t="shared" si="9"/>
        <v>6406494.873488877</v>
      </c>
      <c r="BC45" s="223">
        <f t="shared" si="9"/>
        <v>6598689.7196935425</v>
      </c>
      <c r="BD45" s="223">
        <f t="shared" si="9"/>
        <v>6796650.411284348</v>
      </c>
      <c r="BE45" s="223">
        <f t="shared" si="9"/>
        <v>7000549.9236228783</v>
      </c>
      <c r="BF45" s="223">
        <f t="shared" si="9"/>
        <v>7210566.4213315649</v>
      </c>
      <c r="BG45" s="223">
        <f t="shared" si="9"/>
        <v>7426883.4139715116</v>
      </c>
      <c r="BH45" s="223">
        <f t="shared" si="9"/>
        <v>7649689.9163906556</v>
      </c>
      <c r="BI45" s="223">
        <f t="shared" si="9"/>
        <v>7879180.6138823759</v>
      </c>
      <c r="BJ45" s="223">
        <f t="shared" si="9"/>
        <v>8115556.032298848</v>
      </c>
      <c r="BK45" s="223">
        <f t="shared" si="9"/>
        <v>8359022.7132678116</v>
      </c>
      <c r="BL45" s="223">
        <f t="shared" si="9"/>
        <v>8609793.3946658466</v>
      </c>
      <c r="BM45" s="223">
        <f t="shared" si="9"/>
        <v>8868087.1965058222</v>
      </c>
      <c r="BN45" s="223">
        <f t="shared" si="9"/>
        <v>9134129.8124009967</v>
      </c>
    </row>
    <row r="46" spans="1:66" s="201" customFormat="1" ht="13" x14ac:dyDescent="0.15">
      <c r="A46" s="224"/>
      <c r="B46" s="225" t="s">
        <v>52</v>
      </c>
      <c r="C46" s="208"/>
      <c r="D46" s="221"/>
      <c r="E46" s="288">
        <f>SUM(E41,E42,E44,E45)</f>
        <v>196993066.58364415</v>
      </c>
      <c r="F46" s="20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</row>
    <row r="47" spans="1:66" s="201" customFormat="1" ht="13" x14ac:dyDescent="0.15">
      <c r="B47" s="178"/>
      <c r="C47" s="199"/>
      <c r="D47" s="214"/>
      <c r="E47" s="216">
        <f>E44+E45</f>
        <v>136683867.10504854</v>
      </c>
      <c r="G47" s="229"/>
      <c r="H47" s="229"/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</row>
    <row r="48" spans="1:66" s="201" customFormat="1" ht="13" x14ac:dyDescent="0.15">
      <c r="B48" s="178" t="s">
        <v>62</v>
      </c>
      <c r="C48" s="199"/>
      <c r="D48" s="214"/>
      <c r="E48" s="216">
        <f>NPV($C$13,G48:BN48)+F48</f>
        <v>-1501265.1985079497</v>
      </c>
      <c r="F48" s="230">
        <f>F38-(F41+F42+F44+F45)</f>
        <v>-51000000</v>
      </c>
      <c r="G48" s="230">
        <f>G38-(G41+G42+G44+G45)</f>
        <v>1960593.5441689156</v>
      </c>
      <c r="H48" s="230">
        <f t="shared" ref="H48:BN48" si="10">H38-(H41+H42+H44+H45)</f>
        <v>2011899.8694939828</v>
      </c>
      <c r="I48" s="230">
        <f t="shared" si="10"/>
        <v>2064527.7769742329</v>
      </c>
      <c r="J48" s="230">
        <f t="shared" si="10"/>
        <v>2118510.6099820146</v>
      </c>
      <c r="K48" s="230">
        <f t="shared" si="10"/>
        <v>2173882.529561298</v>
      </c>
      <c r="L48" s="230">
        <f t="shared" si="10"/>
        <v>2230678.5336670363</v>
      </c>
      <c r="M48" s="230">
        <f t="shared" si="10"/>
        <v>2288934.4768284466</v>
      </c>
      <c r="N48" s="230">
        <f t="shared" si="10"/>
        <v>2348687.0902444776</v>
      </c>
      <c r="O48" s="230">
        <f t="shared" si="10"/>
        <v>2409974.0023198379</v>
      </c>
      <c r="P48" s="230">
        <f t="shared" si="10"/>
        <v>2472833.7596501522</v>
      </c>
      <c r="Q48" s="230">
        <f t="shared" si="10"/>
        <v>2537305.8484648205</v>
      </c>
      <c r="R48" s="230">
        <f t="shared" si="10"/>
        <v>2603430.7165363766</v>
      </c>
      <c r="S48" s="230">
        <f t="shared" si="10"/>
        <v>2671249.7955652103</v>
      </c>
      <c r="T48" s="230">
        <f t="shared" si="10"/>
        <v>2740805.524048632</v>
      </c>
      <c r="U48" s="230">
        <f t="shared" si="10"/>
        <v>2812141.3706433978</v>
      </c>
      <c r="V48" s="230">
        <f t="shared" si="10"/>
        <v>2885301.8580309059</v>
      </c>
      <c r="W48" s="230">
        <f t="shared" si="10"/>
        <v>2960332.5872944277</v>
      </c>
      <c r="X48" s="230">
        <f t="shared" si="10"/>
        <v>3037280.2628178075</v>
      </c>
      <c r="Y48" s="230">
        <f t="shared" si="10"/>
        <v>3116192.7177151814</v>
      </c>
      <c r="Z48" s="230">
        <f t="shared" si="10"/>
        <v>3197118.9398014396</v>
      </c>
      <c r="AA48" s="230">
        <f t="shared" si="10"/>
        <v>3280109.098113155</v>
      </c>
      <c r="AB48" s="230">
        <f t="shared" si="10"/>
        <v>3365214.5699899327</v>
      </c>
      <c r="AC48" s="230">
        <f t="shared" si="10"/>
        <v>3452487.968726119</v>
      </c>
      <c r="AD48" s="230">
        <f t="shared" si="10"/>
        <v>3541983.1718029939</v>
      </c>
      <c r="AE48" s="230">
        <f t="shared" si="10"/>
        <v>3633755.3497116901</v>
      </c>
      <c r="AF48" s="230">
        <f t="shared" si="10"/>
        <v>3727860.9953770526</v>
      </c>
      <c r="AG48" s="230">
        <f t="shared" si="10"/>
        <v>3824357.9541928656</v>
      </c>
      <c r="AH48" s="230">
        <f t="shared" si="10"/>
        <v>3923305.4546789657</v>
      </c>
      <c r="AI48" s="230">
        <f t="shared" si="10"/>
        <v>4024764.1397707406</v>
      </c>
      <c r="AJ48" s="230">
        <f t="shared" si="10"/>
        <v>4128796.0987517182</v>
      </c>
      <c r="AK48" s="230">
        <f t="shared" si="10"/>
        <v>4235464.8998399284</v>
      </c>
      <c r="AL48" s="230">
        <f t="shared" si="10"/>
        <v>4344835.6234388873</v>
      </c>
      <c r="AM48" s="230">
        <f t="shared" si="10"/>
        <v>4456974.8960640188</v>
      </c>
      <c r="AN48" s="230">
        <f t="shared" si="10"/>
        <v>4571950.924955532</v>
      </c>
      <c r="AO48" s="230">
        <f t="shared" si="10"/>
        <v>4689833.5333886035</v>
      </c>
      <c r="AP48" s="230">
        <f t="shared" si="10"/>
        <v>4810694.1966920979</v>
      </c>
      <c r="AQ48" s="230">
        <f t="shared" si="10"/>
        <v>4934606.0789867304</v>
      </c>
      <c r="AR48" s="230">
        <f t="shared" si="10"/>
        <v>5061644.0706539322</v>
      </c>
      <c r="AS48" s="230">
        <f t="shared" si="10"/>
        <v>5191884.8265465014</v>
      </c>
      <c r="AT48" s="230">
        <f t="shared" si="10"/>
        <v>5325406.8049522489</v>
      </c>
      <c r="AU48" s="230">
        <f t="shared" si="10"/>
        <v>5462290.3073218316</v>
      </c>
      <c r="AV48" s="230">
        <f t="shared" si="10"/>
        <v>5602617.5187719688</v>
      </c>
      <c r="AW48" s="230">
        <f t="shared" si="10"/>
        <v>5746472.5493752211</v>
      </c>
      <c r="AX48" s="230">
        <f t="shared" si="10"/>
        <v>5893941.4762475863</v>
      </c>
      <c r="AY48" s="230">
        <f t="shared" si="10"/>
        <v>6045112.3864449523</v>
      </c>
      <c r="AZ48" s="230">
        <f t="shared" si="10"/>
        <v>6200075.4206796549</v>
      </c>
      <c r="BA48" s="230">
        <f t="shared" si="10"/>
        <v>6358922.8178681135</v>
      </c>
      <c r="BB48" s="230">
        <f t="shared" si="10"/>
        <v>6521748.9605206624</v>
      </c>
      <c r="BC48" s="230">
        <f t="shared" si="10"/>
        <v>6688650.4209844209</v>
      </c>
      <c r="BD48" s="230">
        <f t="shared" si="10"/>
        <v>6859726.0085501447</v>
      </c>
      <c r="BE48" s="230">
        <f t="shared" si="10"/>
        <v>7035076.8174337409</v>
      </c>
      <c r="BF48" s="230">
        <f t="shared" si="10"/>
        <v>7214806.2756431624</v>
      </c>
      <c r="BG48" s="230">
        <f t="shared" si="10"/>
        <v>7399020.1947411634</v>
      </c>
      <c r="BH48" s="230">
        <f t="shared" si="10"/>
        <v>7587826.820514217</v>
      </c>
      <c r="BI48" s="230">
        <f t="shared" si="10"/>
        <v>7781336.8845578581</v>
      </c>
      <c r="BJ48" s="230">
        <f t="shared" si="10"/>
        <v>7979663.6567884423</v>
      </c>
      <c r="BK48" s="230">
        <f t="shared" si="10"/>
        <v>8182922.9988910966</v>
      </c>
      <c r="BL48" s="230">
        <f t="shared" si="10"/>
        <v>8391233.4187134281</v>
      </c>
      <c r="BM48" s="230">
        <f t="shared" si="10"/>
        <v>8604716.1256143413</v>
      </c>
      <c r="BN48" s="230">
        <f t="shared" si="10"/>
        <v>8823495.0867770053</v>
      </c>
    </row>
    <row r="49" spans="1:66" s="201" customFormat="1" ht="13" x14ac:dyDescent="0.15">
      <c r="A49" s="207"/>
      <c r="B49" s="225" t="s">
        <v>34</v>
      </c>
      <c r="C49" s="208"/>
      <c r="D49" s="221"/>
      <c r="E49" s="226"/>
      <c r="F49" s="231">
        <f>F48</f>
        <v>-51000000</v>
      </c>
      <c r="G49" s="227">
        <f>G48+F49</f>
        <v>-49039406.455831081</v>
      </c>
      <c r="H49" s="227">
        <f>H48+G49</f>
        <v>-47027506.586337097</v>
      </c>
      <c r="I49" s="227">
        <f>I48+H49</f>
        <v>-44962978.809362866</v>
      </c>
      <c r="J49" s="227">
        <f t="shared" ref="J49:BN49" si="11">J48+I49</f>
        <v>-42844468.199380852</v>
      </c>
      <c r="K49" s="227">
        <f t="shared" si="11"/>
        <v>-40670585.669819556</v>
      </c>
      <c r="L49" s="227">
        <f>L48+K49</f>
        <v>-38439907.136152521</v>
      </c>
      <c r="M49" s="227">
        <f t="shared" si="11"/>
        <v>-36150972.659324072</v>
      </c>
      <c r="N49" s="227">
        <f t="shared" si="11"/>
        <v>-33802285.569079593</v>
      </c>
      <c r="O49" s="227">
        <f t="shared" si="11"/>
        <v>-31392311.566759754</v>
      </c>
      <c r="P49" s="227">
        <f t="shared" si="11"/>
        <v>-28919477.807109602</v>
      </c>
      <c r="Q49" s="227">
        <f t="shared" si="11"/>
        <v>-26382171.958644781</v>
      </c>
      <c r="R49" s="227">
        <f t="shared" si="11"/>
        <v>-23778741.242108405</v>
      </c>
      <c r="S49" s="227">
        <f t="shared" si="11"/>
        <v>-21107491.446543194</v>
      </c>
      <c r="T49" s="227">
        <f t="shared" si="11"/>
        <v>-18366685.92249456</v>
      </c>
      <c r="U49" s="227">
        <f t="shared" si="11"/>
        <v>-15554544.551851163</v>
      </c>
      <c r="V49" s="227">
        <f t="shared" si="11"/>
        <v>-12669242.693820257</v>
      </c>
      <c r="W49" s="227">
        <f t="shared" si="11"/>
        <v>-9708910.1065258291</v>
      </c>
      <c r="X49" s="227">
        <f t="shared" si="11"/>
        <v>-6671629.8437080216</v>
      </c>
      <c r="Y49" s="227">
        <f t="shared" si="11"/>
        <v>-3555437.1259928402</v>
      </c>
      <c r="Z49" s="227">
        <f t="shared" si="11"/>
        <v>-358318.18619140051</v>
      </c>
      <c r="AA49" s="227">
        <f t="shared" si="11"/>
        <v>2921790.9119217545</v>
      </c>
      <c r="AB49" s="227">
        <f t="shared" si="11"/>
        <v>6287005.4819116872</v>
      </c>
      <c r="AC49" s="227">
        <f t="shared" si="11"/>
        <v>9739493.4506378062</v>
      </c>
      <c r="AD49" s="227">
        <f t="shared" si="11"/>
        <v>13281476.6224408</v>
      </c>
      <c r="AE49" s="227">
        <f t="shared" si="11"/>
        <v>16915231.97215249</v>
      </c>
      <c r="AF49" s="227">
        <f t="shared" si="11"/>
        <v>20643092.967529543</v>
      </c>
      <c r="AG49" s="227">
        <f t="shared" si="11"/>
        <v>24467450.921722408</v>
      </c>
      <c r="AH49" s="227">
        <f t="shared" si="11"/>
        <v>28390756.376401372</v>
      </c>
      <c r="AI49" s="227">
        <f t="shared" si="11"/>
        <v>32415520.516172111</v>
      </c>
      <c r="AJ49" s="227">
        <f t="shared" si="11"/>
        <v>36544316.614923827</v>
      </c>
      <c r="AK49" s="227">
        <f t="shared" si="11"/>
        <v>40779781.514763758</v>
      </c>
      <c r="AL49" s="227">
        <f t="shared" si="11"/>
        <v>45124617.138202645</v>
      </c>
      <c r="AM49" s="227">
        <f t="shared" si="11"/>
        <v>49581592.034266666</v>
      </c>
      <c r="AN49" s="227">
        <f t="shared" si="11"/>
        <v>54153542.959222198</v>
      </c>
      <c r="AO49" s="227">
        <f t="shared" si="11"/>
        <v>58843376.492610797</v>
      </c>
      <c r="AP49" s="227">
        <f t="shared" si="11"/>
        <v>63654070.689302891</v>
      </c>
      <c r="AQ49" s="227">
        <f t="shared" si="11"/>
        <v>68588676.768289626</v>
      </c>
      <c r="AR49" s="227">
        <f t="shared" si="11"/>
        <v>73650320.838943556</v>
      </c>
      <c r="AS49" s="227">
        <f t="shared" si="11"/>
        <v>78842205.665490061</v>
      </c>
      <c r="AT49" s="227">
        <f t="shared" si="11"/>
        <v>84167612.47044231</v>
      </c>
      <c r="AU49" s="227">
        <f t="shared" si="11"/>
        <v>89629902.777764142</v>
      </c>
      <c r="AV49" s="227">
        <f t="shared" si="11"/>
        <v>95232520.296536118</v>
      </c>
      <c r="AW49" s="227">
        <f t="shared" si="11"/>
        <v>100978992.84591134</v>
      </c>
      <c r="AX49" s="227">
        <f t="shared" si="11"/>
        <v>106872934.32215893</v>
      </c>
      <c r="AY49" s="227">
        <f t="shared" si="11"/>
        <v>112918046.70860389</v>
      </c>
      <c r="AZ49" s="227">
        <f t="shared" si="11"/>
        <v>119118122.12928355</v>
      </c>
      <c r="BA49" s="227">
        <f t="shared" si="11"/>
        <v>125477044.94715166</v>
      </c>
      <c r="BB49" s="227">
        <f t="shared" si="11"/>
        <v>131998793.90767232</v>
      </c>
      <c r="BC49" s="227">
        <f t="shared" si="11"/>
        <v>138687444.32865673</v>
      </c>
      <c r="BD49" s="227">
        <f t="shared" si="11"/>
        <v>145547170.33720687</v>
      </c>
      <c r="BE49" s="227">
        <f t="shared" si="11"/>
        <v>152582247.15464061</v>
      </c>
      <c r="BF49" s="227">
        <f t="shared" si="11"/>
        <v>159797053.43028378</v>
      </c>
      <c r="BG49" s="227">
        <f t="shared" si="11"/>
        <v>167196073.62502494</v>
      </c>
      <c r="BH49" s="227">
        <f t="shared" si="11"/>
        <v>174783900.44553918</v>
      </c>
      <c r="BI49" s="227">
        <f t="shared" si="11"/>
        <v>182565237.33009702</v>
      </c>
      <c r="BJ49" s="227">
        <f t="shared" si="11"/>
        <v>190544900.98688546</v>
      </c>
      <c r="BK49" s="227">
        <f t="shared" si="11"/>
        <v>198727823.98577654</v>
      </c>
      <c r="BL49" s="227">
        <f t="shared" si="11"/>
        <v>207119057.40448996</v>
      </c>
      <c r="BM49" s="227">
        <f t="shared" si="11"/>
        <v>215723773.53010431</v>
      </c>
      <c r="BN49" s="227">
        <f t="shared" si="11"/>
        <v>224547268.61688131</v>
      </c>
    </row>
    <row r="50" spans="1:66" s="201" customFormat="1" ht="13" x14ac:dyDescent="0.15">
      <c r="B50" s="178"/>
      <c r="C50" s="199"/>
      <c r="D50" s="214"/>
      <c r="E50" s="216"/>
      <c r="G50" s="217"/>
      <c r="H50" s="217"/>
      <c r="I50" s="217"/>
      <c r="J50" s="217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</row>
    <row r="51" spans="1:66" s="201" customFormat="1" ht="13" x14ac:dyDescent="0.15">
      <c r="B51" s="232" t="s">
        <v>11</v>
      </c>
      <c r="C51" s="233"/>
      <c r="D51" s="234"/>
      <c r="E51" s="244">
        <f>E38-E46</f>
        <v>-1501265.1985079646</v>
      </c>
      <c r="F51" s="235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</row>
    <row r="52" spans="1:66" s="201" customFormat="1" ht="13" x14ac:dyDescent="0.15">
      <c r="B52" s="236" t="s">
        <v>36</v>
      </c>
      <c r="C52" s="199"/>
      <c r="D52" s="214"/>
      <c r="E52" s="245">
        <f>IRR(F49:BN49)</f>
        <v>4.8359722905575664E-2</v>
      </c>
      <c r="F52" s="237" t="s">
        <v>3</v>
      </c>
      <c r="G52" s="217"/>
      <c r="H52" s="217"/>
      <c r="I52" s="217"/>
      <c r="J52" s="217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</row>
    <row r="53" spans="1:66" s="201" customFormat="1" ht="13" x14ac:dyDescent="0.15">
      <c r="B53" s="238" t="s">
        <v>37</v>
      </c>
      <c r="C53" s="208"/>
      <c r="D53" s="221"/>
      <c r="E53" s="246">
        <f>11+ABS(Q49/R48)</f>
        <v>21.133617841670016</v>
      </c>
      <c r="F53" s="239" t="s">
        <v>9</v>
      </c>
      <c r="G53" s="217"/>
      <c r="H53" s="217"/>
      <c r="I53" s="217"/>
      <c r="J53" s="217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</row>
    <row r="54" spans="1:66" s="201" customFormat="1" ht="13" x14ac:dyDescent="0.15">
      <c r="B54" s="197"/>
      <c r="C54" s="199"/>
      <c r="D54" s="214"/>
      <c r="E54" s="216"/>
      <c r="G54" s="217"/>
      <c r="H54" s="217"/>
      <c r="I54" s="217"/>
      <c r="J54" s="217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</row>
    <row r="55" spans="1:66" s="201" customFormat="1" ht="13" x14ac:dyDescent="0.15">
      <c r="B55" s="232" t="s">
        <v>42</v>
      </c>
      <c r="C55" s="233"/>
      <c r="D55" s="234"/>
      <c r="E55" s="247">
        <f>(E41+E42)/E33</f>
        <v>0.10385651589588393</v>
      </c>
      <c r="F55" s="240" t="s">
        <v>15</v>
      </c>
      <c r="G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</row>
    <row r="56" spans="1:66" s="201" customFormat="1" ht="13" x14ac:dyDescent="0.15">
      <c r="B56" s="238" t="s">
        <v>61</v>
      </c>
      <c r="C56" s="208"/>
      <c r="D56" s="221"/>
      <c r="E56" s="248">
        <f>E46/E33</f>
        <v>0.33923536919577729</v>
      </c>
      <c r="F56" s="241" t="s">
        <v>15</v>
      </c>
      <c r="G56" s="217"/>
      <c r="J56" s="217"/>
      <c r="K56" s="217"/>
      <c r="L56" s="217"/>
      <c r="M56" s="217"/>
      <c r="N56" s="217"/>
      <c r="O56" s="217"/>
      <c r="P56" s="217"/>
      <c r="Q56" s="217"/>
      <c r="R56" s="217"/>
      <c r="S56" s="217"/>
      <c r="T56" s="217"/>
    </row>
    <row r="57" spans="1:66" s="201" customFormat="1" ht="13" x14ac:dyDescent="0.15">
      <c r="B57" s="181"/>
      <c r="C57" s="199"/>
      <c r="D57" s="214"/>
      <c r="E57" s="216"/>
      <c r="G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</row>
    <row r="58" spans="1:66" s="201" customFormat="1" ht="13" x14ac:dyDescent="0.15">
      <c r="B58" s="242" t="s">
        <v>27</v>
      </c>
      <c r="C58" s="336" t="s">
        <v>28</v>
      </c>
      <c r="D58" s="337"/>
      <c r="E58" s="249">
        <f>((E41+E42)+(E45+E44))/E33*1000</f>
        <v>339.23536919577731</v>
      </c>
      <c r="F58" s="243" t="s">
        <v>14</v>
      </c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</row>
    <row r="59" spans="1:66" customFormat="1" x14ac:dyDescent="0.2">
      <c r="B59" s="1"/>
      <c r="C59" s="8"/>
      <c r="D59" s="16"/>
      <c r="E59" s="19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66" x14ac:dyDescent="0.2">
      <c r="B60"/>
    </row>
    <row r="61" spans="1:66" x14ac:dyDescent="0.2">
      <c r="B61"/>
    </row>
    <row r="62" spans="1:66" x14ac:dyDescent="0.2">
      <c r="B62"/>
    </row>
    <row r="63" spans="1:66" x14ac:dyDescent="0.2">
      <c r="B63" s="27"/>
    </row>
    <row r="64" spans="1:66" x14ac:dyDescent="0.2">
      <c r="B64"/>
    </row>
    <row r="65" spans="2:2" x14ac:dyDescent="0.2">
      <c r="B65"/>
    </row>
    <row r="66" spans="2:2" x14ac:dyDescent="0.2">
      <c r="B66" s="31"/>
    </row>
    <row r="67" spans="2:2" x14ac:dyDescent="0.2">
      <c r="B67" s="31"/>
    </row>
    <row r="68" spans="2:2" x14ac:dyDescent="0.2">
      <c r="B68" s="31"/>
    </row>
    <row r="69" spans="2:2" x14ac:dyDescent="0.2">
      <c r="B69" s="31"/>
    </row>
    <row r="70" spans="2:2" x14ac:dyDescent="0.2">
      <c r="B70" s="32"/>
    </row>
    <row r="71" spans="2:2" x14ac:dyDescent="0.2">
      <c r="B71" s="32"/>
    </row>
    <row r="72" spans="2:2" x14ac:dyDescent="0.2">
      <c r="B72" s="32"/>
    </row>
    <row r="73" spans="2:2" x14ac:dyDescent="0.2">
      <c r="B73" s="32"/>
    </row>
    <row r="74" spans="2:2" x14ac:dyDescent="0.2">
      <c r="B74" s="32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 s="31"/>
    </row>
    <row r="80" spans="2:2" x14ac:dyDescent="0.2">
      <c r="B80" s="31"/>
    </row>
    <row r="81" spans="2:2" x14ac:dyDescent="0.2">
      <c r="B81" s="31"/>
    </row>
    <row r="82" spans="2:2" x14ac:dyDescent="0.2">
      <c r="B82"/>
    </row>
    <row r="83" spans="2:2" x14ac:dyDescent="0.2">
      <c r="B83"/>
    </row>
    <row r="84" spans="2:2" x14ac:dyDescent="0.2">
      <c r="B84"/>
    </row>
    <row r="85" spans="2:2" x14ac:dyDescent="0.2">
      <c r="B85"/>
    </row>
    <row r="86" spans="2:2" x14ac:dyDescent="0.2">
      <c r="B86"/>
    </row>
    <row r="87" spans="2:2" x14ac:dyDescent="0.2">
      <c r="B87"/>
    </row>
    <row r="88" spans="2:2" x14ac:dyDescent="0.2">
      <c r="B88" s="31"/>
    </row>
    <row r="89" spans="2:2" x14ac:dyDescent="0.2">
      <c r="B89" s="31"/>
    </row>
    <row r="90" spans="2:2" x14ac:dyDescent="0.2">
      <c r="B90" s="31"/>
    </row>
    <row r="91" spans="2:2" x14ac:dyDescent="0.2">
      <c r="B91" s="31"/>
    </row>
    <row r="92" spans="2:2" x14ac:dyDescent="0.2">
      <c r="B92" s="31"/>
    </row>
    <row r="93" spans="2:2" x14ac:dyDescent="0.2">
      <c r="B93" s="31"/>
    </row>
    <row r="94" spans="2:2" x14ac:dyDescent="0.2">
      <c r="B94"/>
    </row>
    <row r="95" spans="2:2" x14ac:dyDescent="0.2">
      <c r="B95"/>
    </row>
    <row r="96" spans="2:2" x14ac:dyDescent="0.2">
      <c r="B96"/>
    </row>
    <row r="97" spans="2:2" x14ac:dyDescent="0.2">
      <c r="B97"/>
    </row>
  </sheetData>
  <mergeCells count="18">
    <mergeCell ref="F11:G11"/>
    <mergeCell ref="F12:G12"/>
    <mergeCell ref="F13:G13"/>
    <mergeCell ref="F14:G14"/>
    <mergeCell ref="C58:D58"/>
    <mergeCell ref="F15:G15"/>
    <mergeCell ref="F17:G17"/>
    <mergeCell ref="F18:G18"/>
    <mergeCell ref="F19:G19"/>
    <mergeCell ref="F20:G20"/>
    <mergeCell ref="F21:G21"/>
    <mergeCell ref="F22:G22"/>
    <mergeCell ref="F16:G16"/>
    <mergeCell ref="F6:H6"/>
    <mergeCell ref="F7:G7"/>
    <mergeCell ref="F8:G8"/>
    <mergeCell ref="F9:G9"/>
    <mergeCell ref="F10:G10"/>
  </mergeCells>
  <hyperlinks>
    <hyperlink ref="D12" r:id="rId1" xr:uid="{684BD04A-1602-4F89-977A-9877BE49C30D}"/>
    <hyperlink ref="D11" r:id="rId2" xr:uid="{FCF2D1DA-2D7F-48DD-ACF4-528A33112A7C}"/>
  </hyperlinks>
  <pageMargins left="0.7" right="0.7" top="0.75" bottom="0.75" header="0.3" footer="0.3"/>
  <pageSetup orientation="landscape"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E25C4981CB14F8799B74819B7AC08" ma:contentTypeVersion="19" ma:contentTypeDescription="Create a new document." ma:contentTypeScope="" ma:versionID="18d4b79e7e30ffb061354ebd9b6fb1ea">
  <xsd:schema xmlns:xsd="http://www.w3.org/2001/XMLSchema" xmlns:xs="http://www.w3.org/2001/XMLSchema" xmlns:p="http://schemas.microsoft.com/office/2006/metadata/properties" xmlns:ns2="f67d1f72-31b2-4db8-9eba-6a53a0e1fea9" xmlns:ns3="a34d2c86-9072-4ad0-aac0-6de0c221a924" targetNamespace="http://schemas.microsoft.com/office/2006/metadata/properties" ma:root="true" ma:fieldsID="4fb9824bbe181eb93ec28b43918b8331" ns2:_="" ns3:_="">
    <xsd:import namespace="f67d1f72-31b2-4db8-9eba-6a53a0e1fea9"/>
    <xsd:import namespace="a34d2c86-9072-4ad0-aac0-6de0c221a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7d1f72-31b2-4db8-9eba-6a53a0e1f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37fece0-7c67-4b6d-b059-36af53aee6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d2c86-9072-4ad0-aac0-6de0c221a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435a2cd-b9e7-4914-9da1-8e74cad9c42d}" ma:internalName="TaxCatchAll" ma:showField="CatchAllData" ma:web="a34d2c86-9072-4ad0-aac0-6de0c221a9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4d2c86-9072-4ad0-aac0-6de0c221a924" xsi:nil="true"/>
    <lcf76f155ced4ddcb4097134ff3c332f xmlns="f67d1f72-31b2-4db8-9eba-6a53a0e1fe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0C38B2-D72D-4D75-8126-6C0CCAB342B1}"/>
</file>

<file path=customXml/itemProps2.xml><?xml version="1.0" encoding="utf-8"?>
<ds:datastoreItem xmlns:ds="http://schemas.openxmlformats.org/officeDocument/2006/customXml" ds:itemID="{164E8AE0-704E-4A73-8061-7BC3749B3C3A}"/>
</file>

<file path=customXml/itemProps3.xml><?xml version="1.0" encoding="utf-8"?>
<ds:datastoreItem xmlns:ds="http://schemas.openxmlformats.org/officeDocument/2006/customXml" ds:itemID="{ED720016-3F40-4CBF-A644-42DD9F6308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Contents</vt:lpstr>
      <vt:lpstr>Literature review</vt:lpstr>
      <vt:lpstr>FPV array modelling</vt:lpstr>
      <vt:lpstr>FPV Tech analysis</vt:lpstr>
      <vt:lpstr>PHS Tech analysis</vt:lpstr>
      <vt:lpstr>FPV 30 Years</vt:lpstr>
      <vt:lpstr>FPV 60 Years</vt:lpstr>
      <vt:lpstr>Scenario 1</vt:lpstr>
      <vt:lpstr>Scenario 2</vt:lpstr>
      <vt:lpstr>FPV Sensitivity</vt:lpstr>
      <vt:lpstr>PSH Sensitivity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Pep</dc:creator>
  <cp:lastModifiedBy>Alan Brent</cp:lastModifiedBy>
  <cp:lastPrinted>2026-02-19T12:41:54Z</cp:lastPrinted>
  <dcterms:created xsi:type="dcterms:W3CDTF">2026-01-03T10:22:13Z</dcterms:created>
  <dcterms:modified xsi:type="dcterms:W3CDTF">2026-02-24T05:38:46Z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0x010100EF4E25C4981CB14F8799B74819B7AC08</vt:lpwstr>
  </property>
</Properties>
</file>